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fac\Documents\6.Transportes\Contratação 2025\PLANILHA_DE_CUSTO_E_FORMACAO_DE_PRECOS_MOTORISTAS\"/>
    </mc:Choice>
  </mc:AlternateContent>
  <xr:revisionPtr revIDLastSave="0" documentId="13_ncr:1_{FCC6C059-62A2-4E9D-BE51-1BA4B57D5476}" xr6:coauthVersionLast="47" xr6:coauthVersionMax="47" xr10:uidLastSave="{00000000-0000-0000-0000-000000000000}"/>
  <bookViews>
    <workbookView xWindow="-120" yWindow="-120" windowWidth="29040" windowHeight="15720" tabRatio="801" activeTab="3" xr2:uid="{00000000-000D-0000-FFFF-FFFF00000000}"/>
  </bookViews>
  <sheets>
    <sheet name="RESUMO" sheetId="19" r:id="rId1"/>
    <sheet name="MOTORISTA SERV. TERC. (B)" sheetId="15" r:id="rId2"/>
    <sheet name="MOTORISTA SERV. TERC. (D)" sheetId="13" r:id="rId3"/>
    <sheet name="OPERADOR DE MÁQUINA III" sheetId="14" r:id="rId4"/>
    <sheet name="VEÍCULO" sheetId="17" r:id="rId5"/>
    <sheet name="DIÁRIAS" sheetId="18" r:id="rId6"/>
    <sheet name="UNIFORMES" sheetId="1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6" l="1"/>
  <c r="H14" i="19"/>
  <c r="D31" i="17"/>
  <c r="E20" i="14"/>
  <c r="B17" i="13"/>
  <c r="E3" i="19"/>
  <c r="E4" i="19"/>
  <c r="F13" i="19"/>
  <c r="F12" i="19"/>
  <c r="F6" i="19"/>
  <c r="F5" i="19"/>
  <c r="D16" i="17"/>
  <c r="D30" i="17"/>
  <c r="D28" i="17"/>
  <c r="H13" i="19" l="1"/>
  <c r="H12" i="19"/>
  <c r="H6" i="19"/>
  <c r="H5" i="19"/>
  <c r="E22" i="18"/>
  <c r="E23" i="18" s="1"/>
  <c r="E10" i="18"/>
  <c r="E11" i="18" s="1"/>
  <c r="C49" i="17"/>
  <c r="C50" i="17" s="1"/>
  <c r="D32" i="17"/>
  <c r="D27" i="17"/>
  <c r="D24" i="17"/>
  <c r="D26" i="17" s="1"/>
  <c r="D34" i="17" s="1"/>
  <c r="D56" i="17" s="1"/>
  <c r="D18" i="17"/>
  <c r="D55" i="17" s="1"/>
  <c r="F27" i="16"/>
  <c r="G27" i="16" s="1"/>
  <c r="F26" i="16"/>
  <c r="G26" i="16" s="1"/>
  <c r="F25" i="16"/>
  <c r="G25" i="16" s="1"/>
  <c r="F24" i="16"/>
  <c r="G24" i="16" s="1"/>
  <c r="F23" i="16"/>
  <c r="G23" i="16" s="1"/>
  <c r="F22" i="16"/>
  <c r="G22" i="16" s="1"/>
  <c r="F21" i="16"/>
  <c r="G21" i="16" s="1"/>
  <c r="F20" i="16"/>
  <c r="G20" i="16" s="1"/>
  <c r="F19" i="16"/>
  <c r="G19" i="16" s="1"/>
  <c r="F18" i="16"/>
  <c r="G18" i="16" s="1"/>
  <c r="F17" i="16"/>
  <c r="G17" i="16" s="1"/>
  <c r="F9" i="16"/>
  <c r="G9" i="16" s="1"/>
  <c r="F8" i="16"/>
  <c r="G8" i="16" s="1"/>
  <c r="F7" i="16"/>
  <c r="G7" i="16" s="1"/>
  <c r="F6" i="16"/>
  <c r="G6" i="16" s="1"/>
  <c r="F5" i="16"/>
  <c r="E20" i="15"/>
  <c r="D123" i="15"/>
  <c r="D105" i="15"/>
  <c r="D94" i="15"/>
  <c r="D93" i="15"/>
  <c r="D92" i="15"/>
  <c r="D91" i="15"/>
  <c r="D95" i="15" s="1"/>
  <c r="D90" i="15"/>
  <c r="D82" i="15"/>
  <c r="D80" i="15"/>
  <c r="D81" i="15" s="1"/>
  <c r="D78" i="15"/>
  <c r="D79" i="15" s="1"/>
  <c r="D77" i="15"/>
  <c r="D55" i="15"/>
  <c r="D40" i="15"/>
  <c r="D42" i="15" s="1"/>
  <c r="E28" i="15"/>
  <c r="D59" i="15" s="1"/>
  <c r="B17" i="15"/>
  <c r="D123" i="14"/>
  <c r="D105" i="14"/>
  <c r="D94" i="14"/>
  <c r="D93" i="14"/>
  <c r="D92" i="14"/>
  <c r="D91" i="14"/>
  <c r="D90" i="14"/>
  <c r="D82" i="14"/>
  <c r="D80" i="14"/>
  <c r="D81" i="14" s="1"/>
  <c r="D78" i="14"/>
  <c r="D79" i="14" s="1"/>
  <c r="D77" i="14"/>
  <c r="D55" i="14"/>
  <c r="D40" i="14"/>
  <c r="D42" i="14" s="1"/>
  <c r="E28" i="14"/>
  <c r="D59" i="14" s="1"/>
  <c r="E24" i="14"/>
  <c r="B17" i="14"/>
  <c r="E20" i="13"/>
  <c r="D94" i="13"/>
  <c r="D93" i="13"/>
  <c r="D92" i="13"/>
  <c r="D91" i="13"/>
  <c r="D90" i="13"/>
  <c r="D80" i="13"/>
  <c r="D123" i="13"/>
  <c r="D105" i="13"/>
  <c r="D82" i="13"/>
  <c r="D79" i="13"/>
  <c r="D78" i="13"/>
  <c r="D77" i="13"/>
  <c r="D55" i="13"/>
  <c r="D42" i="13"/>
  <c r="D40" i="13"/>
  <c r="E28" i="13"/>
  <c r="D59" i="13" s="1"/>
  <c r="F10" i="16" l="1"/>
  <c r="D57" i="17"/>
  <c r="E110" i="14"/>
  <c r="E115" i="14" s="1"/>
  <c r="E136" i="14" s="1"/>
  <c r="G5" i="16"/>
  <c r="G11" i="16" s="1"/>
  <c r="E110" i="15" s="1"/>
  <c r="F28" i="16"/>
  <c r="E35" i="13"/>
  <c r="D63" i="13" s="1"/>
  <c r="D65" i="13" s="1"/>
  <c r="D71" i="13" s="1"/>
  <c r="D83" i="15"/>
  <c r="E35" i="15"/>
  <c r="D83" i="14"/>
  <c r="D95" i="14"/>
  <c r="E35" i="14"/>
  <c r="D81" i="13"/>
  <c r="D83" i="13" s="1"/>
  <c r="E132" i="13"/>
  <c r="D95" i="13"/>
  <c r="D40" i="17" l="1"/>
  <c r="D39" i="17"/>
  <c r="E38" i="13"/>
  <c r="E41" i="13" s="1"/>
  <c r="E132" i="15"/>
  <c r="D63" i="15"/>
  <c r="D65" i="15" s="1"/>
  <c r="D71" i="15" s="1"/>
  <c r="E38" i="15"/>
  <c r="D63" i="14"/>
  <c r="D65" i="14" s="1"/>
  <c r="D71" i="14" s="1"/>
  <c r="E38" i="14"/>
  <c r="E132" i="14"/>
  <c r="E115" i="13"/>
  <c r="E136" i="13" s="1"/>
  <c r="D46" i="17" l="1"/>
  <c r="D44" i="17"/>
  <c r="D48" i="17"/>
  <c r="D43" i="17"/>
  <c r="E40" i="13"/>
  <c r="E42" i="13" s="1"/>
  <c r="E45" i="13" s="1"/>
  <c r="E41" i="15"/>
  <c r="E40" i="15"/>
  <c r="E41" i="14"/>
  <c r="E40" i="14"/>
  <c r="E42" i="14" s="1"/>
  <c r="D69" i="13"/>
  <c r="D49" i="17" l="1"/>
  <c r="D58" i="17" s="1"/>
  <c r="D59" i="17" s="1"/>
  <c r="D60" i="17" s="1"/>
  <c r="E115" i="15" s="1"/>
  <c r="E136" i="15" s="1"/>
  <c r="E42" i="15"/>
  <c r="E45" i="15" s="1"/>
  <c r="D69" i="15"/>
  <c r="D69" i="14"/>
  <c r="E45" i="14"/>
  <c r="E50" i="13"/>
  <c r="E49" i="13"/>
  <c r="E47" i="13"/>
  <c r="E54" i="13"/>
  <c r="E53" i="13"/>
  <c r="E52" i="13"/>
  <c r="E51" i="13"/>
  <c r="E48" i="13"/>
  <c r="E53" i="15" l="1"/>
  <c r="E49" i="15"/>
  <c r="E51" i="15"/>
  <c r="E47" i="15"/>
  <c r="E52" i="15"/>
  <c r="E48" i="15"/>
  <c r="E54" i="15"/>
  <c r="E50" i="15"/>
  <c r="E53" i="14"/>
  <c r="E49" i="14"/>
  <c r="E51" i="14"/>
  <c r="E47" i="14"/>
  <c r="E54" i="14"/>
  <c r="E50" i="14"/>
  <c r="E52" i="14"/>
  <c r="E48" i="14"/>
  <c r="E55" i="13"/>
  <c r="D70" i="13" s="1"/>
  <c r="E55" i="15" l="1"/>
  <c r="D70" i="15" s="1"/>
  <c r="E55" i="14"/>
  <c r="D70" i="14" s="1"/>
  <c r="D72" i="13"/>
  <c r="D72" i="15" l="1"/>
  <c r="D72" i="14"/>
  <c r="E133" i="13"/>
  <c r="E75" i="13"/>
  <c r="E133" i="15" l="1"/>
  <c r="E75" i="15"/>
  <c r="E133" i="14"/>
  <c r="E75" i="14"/>
  <c r="E78" i="13"/>
  <c r="E77" i="13"/>
  <c r="E80" i="13"/>
  <c r="E82" i="13"/>
  <c r="E81" i="13"/>
  <c r="E79" i="13"/>
  <c r="E77" i="15" l="1"/>
  <c r="E79" i="15"/>
  <c r="E81" i="15"/>
  <c r="E78" i="15"/>
  <c r="E82" i="15"/>
  <c r="E80" i="15"/>
  <c r="E77" i="14"/>
  <c r="E82" i="14"/>
  <c r="E78" i="14"/>
  <c r="E79" i="14"/>
  <c r="E80" i="14"/>
  <c r="E81" i="14"/>
  <c r="E83" i="13"/>
  <c r="E83" i="15" l="1"/>
  <c r="E83" i="14"/>
  <c r="E134" i="13"/>
  <c r="E87" i="13"/>
  <c r="E134" i="15" l="1"/>
  <c r="E87" i="15"/>
  <c r="E134" i="14"/>
  <c r="E87" i="14"/>
  <c r="E92" i="13"/>
  <c r="E89" i="13"/>
  <c r="E94" i="13"/>
  <c r="E91" i="13"/>
  <c r="E93" i="13"/>
  <c r="E90" i="13"/>
  <c r="E89" i="15" l="1"/>
  <c r="E94" i="15"/>
  <c r="E92" i="15"/>
  <c r="E90" i="15"/>
  <c r="E93" i="15"/>
  <c r="E91" i="15"/>
  <c r="E94" i="14"/>
  <c r="E92" i="14"/>
  <c r="E90" i="14"/>
  <c r="E89" i="14"/>
  <c r="E93" i="14"/>
  <c r="E91" i="14"/>
  <c r="E95" i="13"/>
  <c r="D104" i="13" s="1"/>
  <c r="D106" i="13" s="1"/>
  <c r="E135" i="13" s="1"/>
  <c r="E137" i="13" s="1"/>
  <c r="E118" i="13" s="1"/>
  <c r="E95" i="14" l="1"/>
  <c r="D104" i="14" s="1"/>
  <c r="D106" i="14" s="1"/>
  <c r="E135" i="14" s="1"/>
  <c r="E137" i="14" s="1"/>
  <c r="E118" i="14" s="1"/>
  <c r="E95" i="15"/>
  <c r="D104" i="15" s="1"/>
  <c r="D106" i="15" s="1"/>
  <c r="E135" i="15" s="1"/>
  <c r="E137" i="15" s="1"/>
  <c r="E121" i="13"/>
  <c r="E119" i="13" s="1"/>
  <c r="E122" i="13" s="1"/>
  <c r="E118" i="15" l="1"/>
  <c r="E121" i="14"/>
  <c r="E119" i="14" s="1"/>
  <c r="E122" i="14" s="1"/>
  <c r="E127" i="13"/>
  <c r="E126" i="13"/>
  <c r="E125" i="13"/>
  <c r="E121" i="15" l="1"/>
  <c r="E119" i="15" s="1"/>
  <c r="E122" i="15" s="1"/>
  <c r="E127" i="14"/>
  <c r="E126" i="14"/>
  <c r="E125" i="14"/>
  <c r="E128" i="13"/>
  <c r="E138" i="13" s="1"/>
  <c r="E139" i="13" s="1"/>
  <c r="F3" i="19" s="1"/>
  <c r="H3" i="19" l="1"/>
  <c r="G3" i="19"/>
  <c r="E128" i="14"/>
  <c r="E138" i="14" s="1"/>
  <c r="E139" i="14" s="1"/>
  <c r="F4" i="19" s="1"/>
  <c r="E125" i="15"/>
  <c r="E126" i="15"/>
  <c r="E127" i="15"/>
  <c r="H4" i="19" l="1"/>
  <c r="H7" i="19" s="1"/>
  <c r="G4" i="19"/>
  <c r="G7" i="19" s="1"/>
  <c r="E128" i="15"/>
  <c r="E138" i="15" s="1"/>
  <c r="E139" i="15" s="1"/>
  <c r="F11" i="19" s="1"/>
  <c r="G11" i="19" s="1"/>
  <c r="G14" i="19" l="1"/>
  <c r="H11" i="19"/>
  <c r="H17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24" authorId="0" shapeId="0" xr:uid="{D03C93E6-6F8B-4604-94F9-228AEA3AB21C}">
      <text>
        <r>
          <rPr>
            <b/>
            <sz val="9"/>
            <color indexed="81"/>
            <rFont val="Segoe UI"/>
            <family val="2"/>
          </rPr>
          <t xml:space="preserve">Valor residual de 20% do valor do veículo, conforme Receita Federal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UFAC</author>
  </authors>
  <commentList>
    <comment ref="D4" authorId="0" shapeId="0" xr:uid="{D6B4787A-8466-48D6-B3DB-642FCCFA7F93}">
      <text>
        <r>
          <rPr>
            <b/>
            <sz val="9"/>
            <color indexed="81"/>
            <rFont val="Segoe UI"/>
            <family val="2"/>
          </rPr>
          <t>UFAC:</t>
        </r>
        <r>
          <rPr>
            <sz val="9"/>
            <color indexed="81"/>
            <rFont val="Segoe UI"/>
            <family val="2"/>
          </rPr>
          <t xml:space="preserve">
Qte. Referente a 2 (dois) conjuntos anuais, sendo o contrato de 24 meses. 
</t>
        </r>
      </text>
    </comment>
    <comment ref="D16" authorId="0" shapeId="0" xr:uid="{0C7A3F54-37C6-4D09-8E37-0225A659C4F7}">
      <text>
        <r>
          <rPr>
            <b/>
            <sz val="9"/>
            <color indexed="81"/>
            <rFont val="Segoe UI"/>
            <family val="2"/>
          </rPr>
          <t>UFAC:</t>
        </r>
        <r>
          <rPr>
            <sz val="9"/>
            <color indexed="81"/>
            <rFont val="Segoe UI"/>
            <family val="2"/>
          </rPr>
          <t xml:space="preserve">
Qte. Referente a 2 (dois) conjuntos anuais, sendo o contrato de 24 meses. 
</t>
        </r>
      </text>
    </comment>
  </commentList>
</comments>
</file>

<file path=xl/sharedStrings.xml><?xml version="1.0" encoding="utf-8"?>
<sst xmlns="http://schemas.openxmlformats.org/spreadsheetml/2006/main" count="855" uniqueCount="253">
  <si>
    <t>MODELO DE PLANILHA DE COMPOSIÇÃO DE CUSTOS E FORMAÇÃO DE PREÇOS</t>
  </si>
  <si>
    <t>Nº do Processo</t>
  </si>
  <si>
    <t>Nº da Licitação</t>
  </si>
  <si>
    <t>Empresa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</si>
  <si>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</si>
  <si>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</si>
  <si>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</si>
  <si>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</si>
  <si>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</si>
  <si>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Rio Branco</t>
  </si>
  <si>
    <t>C</t>
  </si>
  <si>
    <t>CCT (REFERÊNCIA)</t>
  </si>
  <si>
    <t>D</t>
  </si>
  <si>
    <t>Ano, Acordo, Convenção ou Sentença Normativa em Dissídio Coletivo</t>
  </si>
  <si>
    <t>E</t>
  </si>
  <si>
    <t>Nº de meses de execução contratual</t>
  </si>
  <si>
    <t>Identificação do Serviço</t>
  </si>
  <si>
    <t>TIPO DE SERVIÇO</t>
  </si>
  <si>
    <t>UNIDADE DE MEDIDA</t>
  </si>
  <si>
    <t>QUANTIDADE MENSAL A CONTRATAR</t>
  </si>
  <si>
    <t>Posto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</si>
  <si>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</si>
  <si>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</si>
  <si>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</si>
  <si>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</si>
  <si>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</si>
  <si>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Quantidade (nº de trabalhadores)</t>
  </si>
  <si>
    <t>MÓDULO 1 - COMPOSIÇÃO DA REMUNERAÇÃO</t>
  </si>
  <si>
    <t>I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</si>
  <si>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</si>
  <si>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</si>
  <si>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</si>
  <si>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</si>
  <si>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</si>
  <si>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 + Prorrogação Jornada Noturna</t>
  </si>
  <si>
    <t>Hora noturna adicional</t>
  </si>
  <si>
    <t>F</t>
  </si>
  <si>
    <t>Feriado Trabalhado (Súmula 444 TST)</t>
  </si>
  <si>
    <t>G</t>
  </si>
  <si>
    <t>Outros (especificar)</t>
  </si>
  <si>
    <t>Total da Remuneração</t>
  </si>
  <si>
    <t>MÓDULO 2 - BENEFÍCIOS MENSAIS E DIÁRIOS</t>
  </si>
  <si>
    <t>2.1</t>
  </si>
  <si>
    <t>13º (décimo terceiro) Salário, Férias e Adicional de Férias</t>
  </si>
  <si>
    <t>%</t>
  </si>
  <si>
    <t>13º Salário</t>
  </si>
  <si>
    <t>Adicional de Férias</t>
  </si>
  <si>
    <t>Total</t>
  </si>
  <si>
    <t>Submódulo 2.2 - Encargos Previdenciários (GPS), Fundo de Garantia por Tempo de Serviço (FGTS) e outras contribuições.</t>
  </si>
  <si>
    <t>2.2</t>
  </si>
  <si>
    <t>Encargos previdenciários e FGTS</t>
  </si>
  <si>
    <t>INSS</t>
  </si>
  <si>
    <t>Salário Educação</t>
  </si>
  <si>
    <t xml:space="preserve">Seguro Acidente do Trabalho </t>
  </si>
  <si>
    <t>SESI OU SESC</t>
  </si>
  <si>
    <t>SENAI OU SENAC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</si>
  <si>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</si>
  <si>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</si>
  <si>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</si>
  <si>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</si>
  <si>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</si>
  <si>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</si>
  <si>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</si>
  <si>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</si>
  <si>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</si>
  <si>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r>
      <rPr>
        <sz val="11"/>
        <color rgb="FF000000"/>
        <rFont val="Calibri"/>
        <charset val="1"/>
      </rPr>
      <t>Seguro de vida, invalidez e funeral</t>
    </r>
    <r>
      <rPr>
        <sz val="11"/>
        <color rgb="FFFF0000"/>
        <rFont val="Calibri"/>
        <charset val="1"/>
      </rPr>
      <t xml:space="preserve"> </t>
    </r>
  </si>
  <si>
    <t>Total de benefícios mensais e diários</t>
  </si>
  <si>
    <t>Intrajornada</t>
  </si>
  <si>
    <t>Quadro-Resumo do Módulo 2 - Encargos e Benefícios Anuais, Mensais e Diários</t>
  </si>
  <si>
    <t>Encargos e Benefícios Anuais, Mensais e Diários</t>
  </si>
  <si>
    <t>GPS, FGTS e outras contribuições</t>
  </si>
  <si>
    <t>TOTAL</t>
  </si>
  <si>
    <t>MÓDULO 3 - PROVISÃO PARA RESCISÃO</t>
  </si>
  <si>
    <t>BASE DE CÁLCULO = MÓDULO 1 + MÓDULO 2</t>
  </si>
  <si>
    <t>Provisão para Rescisão</t>
  </si>
  <si>
    <t>Aviso Prévio Indenizado</t>
  </si>
  <si>
    <t>Incidência do FGTS sobre o Aviso Prévio Indenizado</t>
  </si>
  <si>
    <t xml:space="preserve">Multa FGTS e contribuições sociais sobre o Aviso Prévio Indenizado </t>
  </si>
  <si>
    <t>Aviso Prévio Trabalhado</t>
  </si>
  <si>
    <t>Incidência do submódulo 2.2 sobre o Aviso Prévio Trabalhado</t>
  </si>
  <si>
    <t>Multa FGTS  e Contribuições Sociais do Aviso Prévio Trabalhado</t>
  </si>
  <si>
    <t>MÓDULO 4 - CUSTO DE REPOSIÇÃO DE PROFISSIONAL AUSENTE</t>
  </si>
  <si>
    <t>BASE DE CÁLCULO = MÓDULO 1 + MÓDULO 2 (sem VA, VT e Intrajornada) + MÓDULO 3</t>
  </si>
  <si>
    <t>Submódulo 4.1 - Ausências Legais</t>
  </si>
  <si>
    <t>4.1</t>
  </si>
  <si>
    <t>Ausências Legais</t>
  </si>
  <si>
    <t>Substituto na cobertura de Férias</t>
  </si>
  <si>
    <t>Substituto na cobertura de Ausências Legais</t>
  </si>
  <si>
    <t>Substituto na cobertura de Licença Paternidade</t>
  </si>
  <si>
    <t xml:space="preserve">Substituto na cobertura de Ausência por Acidente de Trabalho </t>
  </si>
  <si>
    <t>Substituto na cobertura de Afastamento Maternidade</t>
  </si>
  <si>
    <t>Substituto na cobertura de Outras ausências (especificar)</t>
  </si>
  <si>
    <t>Submódulo 4.2 - Intrajornada</t>
  </si>
  <si>
    <t>4.2</t>
  </si>
  <si>
    <t>Intervalo para repouso e alimentação</t>
  </si>
  <si>
    <t>Quadro-Resumo do Módulo 4 - Custo de Reposição de Profissional Ausente</t>
  </si>
  <si>
    <t>Custo de Reposição do Profissional Ausente</t>
  </si>
  <si>
    <t>MÓDULO 5 - INSUMOS DIVERSOS</t>
  </si>
  <si>
    <t>Insumos diversos</t>
  </si>
  <si>
    <t>Equipamentos e Materiais Permanentes</t>
  </si>
  <si>
    <t>Materiais de Consumo</t>
  </si>
  <si>
    <t>Total de Insumos Diversos</t>
  </si>
  <si>
    <t>MÓDULO 6 - CUSTOS INDIRETOS, TRIBUTOS E LUCRO</t>
  </si>
  <si>
    <t>BASE DE CÁLCULO CUSTO INDIRETOS = MÓDULO 1 + MÓDULO 2 + MÓDULO 3 + MÓDULO 4 + MÓDULO 5</t>
  </si>
  <si>
    <t>BASE DE CÁLCULO LUCRO = MÓDULO 1 + MÓDULO 2 + MÓDULO 3 + MÓDULO 4 + MÓDULO 5 + CUSTOS INDIRETOS</t>
  </si>
  <si>
    <t>Custos Indiretos, Tributos e Lucro</t>
  </si>
  <si>
    <t>Custos Indiretos</t>
  </si>
  <si>
    <t>Lucro</t>
  </si>
  <si>
    <t>C.1</t>
  </si>
  <si>
    <t>Tributos Federais (especificar)</t>
  </si>
  <si>
    <t>C.1.1</t>
  </si>
  <si>
    <t>PIS</t>
  </si>
  <si>
    <t>C.1.2</t>
  </si>
  <si>
    <t>COFINS</t>
  </si>
  <si>
    <t>C.1.3</t>
  </si>
  <si>
    <t>ISS</t>
  </si>
  <si>
    <t>Quadro-Resumo do Custo por Empregados</t>
  </si>
  <si>
    <t>Mão-de-Obra vinculada à execução contratual (valor por empregado)</t>
  </si>
  <si>
    <t>(R$)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</si>
  <si>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</si>
  <si>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</si>
  <si>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</si>
  <si>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</si>
  <si>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</si>
  <si>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E):</t>
  </si>
  <si>
    <t>Módulo 6 - Custos Indiretos, Tributos e Lucro</t>
  </si>
  <si>
    <t>Valor Total Mensal do Empregado</t>
  </si>
  <si>
    <t xml:space="preserve">BASE DE CÁLCULO = MÓDULO 1 </t>
  </si>
  <si>
    <t>BASE DE CÁLCULO = MÓDULO 1 + SUMÓDULO 2.1</t>
  </si>
  <si>
    <t>Tributos</t>
  </si>
  <si>
    <t>Cota Aprendizagem - CL 8ª</t>
  </si>
  <si>
    <t>2023/2024</t>
  </si>
  <si>
    <t>1º DE JANEIRO DE 2024</t>
  </si>
  <si>
    <r>
      <t xml:space="preserve">Assistência médica e familiar </t>
    </r>
    <r>
      <rPr>
        <sz val="11"/>
        <color rgb="FF000000"/>
        <rFont val="Calibri"/>
      </rPr>
      <t>(Cláusula 14ª)</t>
    </r>
  </si>
  <si>
    <t>PCMSO/CIPA/PGR  (Cláusula 7ª TA)</t>
  </si>
  <si>
    <t>Uniformes</t>
  </si>
  <si>
    <t>EPIs</t>
  </si>
  <si>
    <t xml:space="preserve">OBSERVAÇÔES: </t>
  </si>
  <si>
    <t xml:space="preserve">1) De acordo com o entendimento do TCU no Acórdão nº 1.186/2017 - Plenário, a Administração "deve estabelecer na minuta do
contrato que a parcela mensal a título de aviso prévio trabalhado será no percentual máximo de 1,94% no primeiro
ano, e, em caso de prorrogação do contrato, o percentual máximo dessa parcela será de 0,194% a cada ano de
prorrogação, a ser incluído por ocasião da formulação do aditivo da prorrogação do contrato, conforme a Lei
12.506/2011" (Enunciado do Boletim de Jurisprudência nº 176/2017). </t>
  </si>
  <si>
    <t xml:space="preserve">2) A AC000002/2023 / AC000012/2024 foram tomada como referência no Submódulo 2.3 - Benefícios Mensais e Diários, a partir da alínea B e oara o MÓDULO 5 - INSUMOS DIVERSOS. Como a CCT não está mais vigente, na licitação, caso a nova CCT já tenha sido acordada, os interessados deverão se basear nela para preencher a planilha de custos e formação de preços. </t>
  </si>
  <si>
    <t>3) Como o salário base da categoria estava abaixo do mínimo utilizamos o salário mínimo como base para os cálculos da planilha. Ver a nota 2).</t>
  </si>
  <si>
    <t>Planilha de Orçamento de Uniformes/EPI</t>
  </si>
  <si>
    <t>Motorista em serviços terceirizáveis (D)</t>
  </si>
  <si>
    <t>Nº</t>
  </si>
  <si>
    <t>Custo Total dos Uniformes</t>
  </si>
  <si>
    <t>Custo MENSAL dos uniformes (por posto)</t>
  </si>
  <si>
    <t>Motorista em serviços terceirizáveis- Operador de máquina III</t>
  </si>
  <si>
    <t xml:space="preserve">Descrição </t>
  </si>
  <si>
    <t xml:space="preserve">Calça de tecido Oxford ou jeans; cor preta ou jeans escuro. </t>
  </si>
  <si>
    <t>Camisa gola polo. Características: modelagem regular, tecido em algodão ou composição
similar. Parte frontal: bordado com logotipo da UFAC e nome "Prefeitura do Campus" do lado
direito e logotipo da Contratada do lado esquerdo.</t>
  </si>
  <si>
    <t>Botina de segurança com cadarço, material: couro ou PVC, cor: preta</t>
  </si>
  <si>
    <t>Meia do tipo social, material: poliamida, cor: preta.</t>
  </si>
  <si>
    <t>Crachá em PVC, contendo: foto recente, nome da empresa Contratada, descrição do cargo e, em destaque e de fácil leitura, nome abreviado pelo qual poderá ser identificado o funcionário. Características adicionais: protetor de crachá rígido, com jacaré / regulador bolinha.</t>
  </si>
  <si>
    <t xml:space="preserve">Camiseta Proteção Sol UV 50+ Térmica - Manga Longa. </t>
  </si>
  <si>
    <t>Botina de segurança em couro preto, com biqueira de aço, tamanho a confirmar, cano curto,
com solado isolante, antiderrapante e resistente a queda de objetos</t>
  </si>
  <si>
    <t>Óculos de proteção individual escuro, lente antiembaçante, tamanho único.</t>
  </si>
  <si>
    <t xml:space="preserve">Abafador ruído, tipo concha dupla, 20 DB. </t>
  </si>
  <si>
    <t>Touca tipo árabe em helanca com fechamento em velcro. C.A 31442</t>
  </si>
  <si>
    <t>Protetor Solar para raios UVA/UVB, fps 60 - Frasco c/200ml</t>
  </si>
  <si>
    <t>Luva de segurança confeccionada em vaqueta.</t>
  </si>
  <si>
    <t>Medida</t>
  </si>
  <si>
    <t>Unidade</t>
  </si>
  <si>
    <t>Par</t>
  </si>
  <si>
    <t>Qte.</t>
  </si>
  <si>
    <t>Cotação (R$)</t>
  </si>
  <si>
    <t xml:space="preserve">Custo Total </t>
  </si>
  <si>
    <t>Custo Total (24 meses)</t>
  </si>
  <si>
    <t>Custo mensal</t>
  </si>
  <si>
    <t>UNIVERSIDADE FEDERAL DO ACRE</t>
  </si>
  <si>
    <t>PLANILHA DE CUSTOS E FORMAÇÃO DE PREÇOS</t>
  </si>
  <si>
    <r>
      <t>N</t>
    </r>
    <r>
      <rPr>
        <b/>
        <strike/>
        <sz val="10"/>
        <color indexed="8"/>
        <rFont val="Ecofont_Spranq_eco_Sans"/>
        <family val="2"/>
      </rPr>
      <t>º</t>
    </r>
    <r>
      <rPr>
        <b/>
        <sz val="10"/>
        <color indexed="8"/>
        <rFont val="Ecofont_Spranq_eco_Sans"/>
        <family val="2"/>
      </rPr>
      <t xml:space="preserve"> Processo</t>
    </r>
  </si>
  <si>
    <t>23107.002569/2025-83</t>
  </si>
  <si>
    <t>Município</t>
  </si>
  <si>
    <t>Tipo de Serviço</t>
  </si>
  <si>
    <t>Locação de veículo utilitário do tipo Caminhonete 4x4, cabine dupla.</t>
  </si>
  <si>
    <t>Unidade Medida</t>
  </si>
  <si>
    <t>Franquia Mensal para cada veículo</t>
  </si>
  <si>
    <t>Km livre</t>
  </si>
  <si>
    <t>VEÍCULOS</t>
  </si>
  <si>
    <t>Módulo 1: Insumos Veículo</t>
  </si>
  <si>
    <t>Insumos Veículo</t>
  </si>
  <si>
    <t>Manta magnética, com o indicativo: UFAC -UNIVERSIDADE FEDERAL DO ACRE - USO EXCLUSIVO EM SERVIÇO.</t>
  </si>
  <si>
    <t xml:space="preserve">Total </t>
  </si>
  <si>
    <t xml:space="preserve">Módulo 2 - Custos Veículo </t>
  </si>
  <si>
    <t>Custos do veículo</t>
  </si>
  <si>
    <t xml:space="preserve">Valor do veículo </t>
  </si>
  <si>
    <t>Valor residual do veículo</t>
  </si>
  <si>
    <t>Custos fixos e variáveis do veículo</t>
  </si>
  <si>
    <t>Depreciação (CF)</t>
  </si>
  <si>
    <t xml:space="preserve">Licenciamento e IPVA (CF) </t>
  </si>
  <si>
    <t>https://legis.ac.gov.br/detalhar/6246 -&gt;  IPVA Alíquota de 2% | https://www.detran.ac.gov.br/veiculos/valores-de-servicos-de-veiculos/ -&gt; licenciamento =  R$ 200,25</t>
  </si>
  <si>
    <t>Seguro Total (Veículo e terceiros) (o item 5.1.2.19
"Do seguro dos veículos", do TR.)</t>
  </si>
  <si>
    <t>Manutenção do veículo (peças, óleo lubrificante, mão de obra).</t>
  </si>
  <si>
    <t>Pneus (CV)</t>
  </si>
  <si>
    <t>J</t>
  </si>
  <si>
    <t xml:space="preserve">Higienização do veículo, interna e externa, em posto de lavagem. </t>
  </si>
  <si>
    <t>K</t>
  </si>
  <si>
    <t>Módulo 3: Custos Indiretos, Tributos e Lucro</t>
  </si>
  <si>
    <t>Percentual (%)</t>
  </si>
  <si>
    <t>Valor</t>
  </si>
  <si>
    <r>
      <t xml:space="preserve">Custos Indiretos </t>
    </r>
    <r>
      <rPr>
        <sz val="10"/>
        <color theme="1"/>
        <rFont val="Ecofont_Spranq_eco_Sans"/>
        <family val="2"/>
      </rPr>
      <t>(despesas operacionais/administrativas)</t>
    </r>
  </si>
  <si>
    <t>C.1 - Tributos Federais</t>
  </si>
  <si>
    <t>C.2 - Tributos Municipais</t>
  </si>
  <si>
    <t xml:space="preserve">C.3 - Tributos  Estaduais </t>
  </si>
  <si>
    <t>(Especificar)</t>
  </si>
  <si>
    <t>TOTAL DE TRIBUTOS</t>
  </si>
  <si>
    <t xml:space="preserve">Indice: Fórmula = 1 - (total de tributos%/ 100%) = </t>
  </si>
  <si>
    <t>QUADRO RESUMO DO CUSTO DO VEÍCULO</t>
  </si>
  <si>
    <t>Mão-de-obra vinculada à execução Contratual (valor por empregado)</t>
  </si>
  <si>
    <t>Módulo 1 - Insumos Veículo</t>
  </si>
  <si>
    <t>Módulo 2 - Custos Veículo</t>
  </si>
  <si>
    <t>Subtotal (A+B)</t>
  </si>
  <si>
    <t>Módulo 3 – Custos Indiretos, Tributos e Lucro</t>
  </si>
  <si>
    <t>Valor Total por veículo com motorista</t>
  </si>
  <si>
    <t>Total mensal por veículo</t>
  </si>
  <si>
    <t>PLANILHA DE FORMAÇÃO DE PREÇOS – DIÁRIAS INTERESTADUAIS</t>
  </si>
  <si>
    <t>I - Valor da diária</t>
  </si>
  <si>
    <t>Diária Interestadual</t>
  </si>
  <si>
    <t>II - LUCRO E DESPESAS INDIRETAS (LDI)</t>
  </si>
  <si>
    <t>Despesas Administrativas/Operacionais</t>
  </si>
  <si>
    <t>ISSQN ou ISS</t>
  </si>
  <si>
    <t>TOTAL - LUCRO E DESPESAS INDIRETAS (LDI)</t>
  </si>
  <si>
    <t>PREÇO DE 01 (UMA) DIÁRIA POR MÊS</t>
  </si>
  <si>
    <t>PLANILHA DE FORMAÇÃO DE PREÇOS – DIÁRIAS INTERMUNICIPAIS</t>
  </si>
  <si>
    <t>Diária Intermunicipal</t>
  </si>
  <si>
    <t>Grupo 01 - Campus Sede - Rio Branco</t>
  </si>
  <si>
    <t>Item</t>
  </si>
  <si>
    <t>Serviço/Descrição</t>
  </si>
  <si>
    <t>Quantidade Mensal</t>
  </si>
  <si>
    <t xml:space="preserve">Valor Unitário Mensal </t>
  </si>
  <si>
    <t>Valor Total Mensal</t>
  </si>
  <si>
    <t>Motorista em serviços terceirizáveis (categoria D) - 44h semanais - (CBO:7824-10)</t>
  </si>
  <si>
    <t>Operador de máquina III -  44h semanais -  (CBO: 7151-25)</t>
  </si>
  <si>
    <t xml:space="preserve">Pagamento de diárias intermunicipais </t>
  </si>
  <si>
    <t>Dia</t>
  </si>
  <si>
    <t>Pagamento de diárias interestaduais</t>
  </si>
  <si>
    <t>Valor total Grupo 1</t>
  </si>
  <si>
    <t>Grupo 02  - Campus Sede - Rio Branco</t>
  </si>
  <si>
    <t>Valor Unitário Mensal</t>
  </si>
  <si>
    <t xml:space="preserve">Motorista em serviços terceirizados (categoria B) - 44h semanais - (CBO:7823-05), com veículo do tipo Caminhonete 4x4 cabine dupla, com
quilometragem livre e as especificações mínimas constantes no TR. </t>
  </si>
  <si>
    <t>Valor total Grupo 2</t>
  </si>
  <si>
    <t xml:space="preserve">Valor total da Contratação </t>
  </si>
  <si>
    <t xml:space="preserve">Quantidade Total </t>
  </si>
  <si>
    <t xml:space="preserve">Valor Total </t>
  </si>
  <si>
    <t>Cotação</t>
  </si>
  <si>
    <t>Receita Federal -&gt; 8703 - Vida útil 5 anos e valor residual: 20% -&gt; http://normas.receita.fazenda.gov.br/sijut2consulta/link.action?idAto=81268#1706802</t>
  </si>
  <si>
    <r>
      <t>Seguro de vida, invalidez e funeral</t>
    </r>
    <r>
      <rPr>
        <sz val="11"/>
        <color rgb="FFFF0000"/>
        <rFont val="Calibri"/>
        <charset val="1"/>
      </rPr>
      <t xml:space="preserve"> </t>
    </r>
  </si>
  <si>
    <t xml:space="preserve">Assistência médica e familiar </t>
  </si>
  <si>
    <t xml:space="preserve">PCMSO/CIPA/PGR </t>
  </si>
  <si>
    <t xml:space="preserve">MOTORISTA CATEGORIA D </t>
  </si>
  <si>
    <t xml:space="preserve">MOTORISTA CATEGORIA B </t>
  </si>
  <si>
    <t>OPERADOR DE MÁQUINA</t>
  </si>
  <si>
    <t>TERMO ADITIVO A CONVENÇÃO COLETIVA DE TRABALHO 2024/2024 - AC000012/2024 e cotação complementar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</si>
</sst>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"/>
    <numFmt numFmtId="165" formatCode="0.0000%"/>
    <numFmt numFmtId="166" formatCode="_-[$R$-416]\ * #,##0.00_-;\-[$R$-416]\ * #,##0.00_-;_-[$R$-416]\ * &quot;-&quot;??_-;_-@_-"/>
    <numFmt numFmtId="167" formatCode="_(&quot;R$ &quot;* #,##0.00_);_(&quot;R$ &quot;* \(#,##0.00\);_(&quot;R$ &quot;* &quot;-&quot;??_);_(@_)"/>
    <numFmt numFmtId="168" formatCode="0.000%"/>
    <numFmt numFmtId="169" formatCode="&quot;R$&quot;\ #,##0.00"/>
  </numFmts>
  <fonts count="41">
    <font>
      <sz val="11"/>
      <color rgb="FF000000"/>
      <name val="Calibri"/>
      <charset val="1"/>
    </font>
    <font>
      <sz val="11"/>
      <color theme="1"/>
      <name val="Aptos Narrow"/>
      <family val="2"/>
      <scheme val="minor"/>
    </font>
    <font>
      <b/>
      <sz val="12"/>
      <color rgb="FF000000"/>
      <name val="Calibri"/>
      <charset val="1"/>
    </font>
    <font>
      <b/>
      <sz val="14"/>
      <color rgb="FF000000"/>
      <name val="Calibri"/>
      <charset val="1"/>
    </font>
    <font>
      <sz val="10"/>
      <color rgb="FF000000"/>
      <name val="Calibri"/>
      <charset val="1"/>
    </font>
    <font>
      <b/>
      <sz val="11"/>
      <color rgb="FF000000"/>
      <name val="Calibri"/>
      <charset val="1"/>
    </font>
    <font>
      <sz val="10"/>
      <color rgb="FF000000"/>
      <name val="Arial"/>
      <charset val="1"/>
    </font>
    <font>
      <sz val="11"/>
      <color rgb="FFFF0000"/>
      <name val="Calibri"/>
      <charset val="1"/>
    </font>
    <font>
      <b/>
      <sz val="10"/>
      <color rgb="FF000000"/>
      <name val="Calibri"/>
      <charset val="1"/>
    </font>
    <font>
      <sz val="11"/>
      <color rgb="FF000000"/>
      <name val="Calibri"/>
    </font>
    <font>
      <b/>
      <sz val="12"/>
      <color rgb="FF000000"/>
      <name val="Calibri"/>
    </font>
    <font>
      <sz val="11"/>
      <color rgb="FF000000"/>
      <name val="Calibri"/>
      <family val="2"/>
    </font>
    <font>
      <sz val="10.5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charset val="1"/>
    </font>
    <font>
      <b/>
      <sz val="11"/>
      <color theme="1"/>
      <name val="Aptos Narrow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333333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0"/>
      <name val="Ecofont_Spranq_eco_Sans"/>
      <family val="2"/>
    </font>
    <font>
      <sz val="10"/>
      <color theme="1"/>
      <name val="Ecofont_Spranq_eco_Sans"/>
      <family val="2"/>
    </font>
    <font>
      <b/>
      <sz val="10"/>
      <color theme="1"/>
      <name val="Ecofont_Spranq_eco_Sans"/>
      <family val="2"/>
    </font>
    <font>
      <b/>
      <strike/>
      <sz val="10"/>
      <color indexed="8"/>
      <name val="Ecofont_Spranq_eco_Sans"/>
      <family val="2"/>
    </font>
    <font>
      <b/>
      <sz val="10"/>
      <color indexed="8"/>
      <name val="Ecofont_Spranq_eco_Sans"/>
      <family val="2"/>
    </font>
    <font>
      <sz val="10"/>
      <name val="Ecofont_Spranq_eco_Sans"/>
      <family val="2"/>
    </font>
    <font>
      <sz val="10"/>
      <color rgb="FFFF0000"/>
      <name val="Ecofont_Spranq_eco_Sans"/>
      <family val="2"/>
    </font>
    <font>
      <b/>
      <sz val="10"/>
      <color rgb="FF333333"/>
      <name val="Ecofont_Spranq_eco_Sans"/>
    </font>
    <font>
      <i/>
      <sz val="10"/>
      <color rgb="FF002060"/>
      <name val="Ecofont_Spranq_eco_Sans"/>
      <family val="2"/>
    </font>
    <font>
      <sz val="10"/>
      <color theme="1"/>
      <name val="Ecofont_Spranq_eco_Sans"/>
    </font>
    <font>
      <b/>
      <i/>
      <sz val="10"/>
      <color theme="1"/>
      <name val="Ecofont_Spranq_eco_Sans"/>
      <family val="2"/>
    </font>
    <font>
      <i/>
      <sz val="10"/>
      <color theme="1"/>
      <name val="Ecofont_Spranq_eco_Sans"/>
      <family val="2"/>
    </font>
    <font>
      <sz val="10"/>
      <color indexed="8"/>
      <name val="Ecofont_Spranq_eco_Sans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2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D8D8D8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</cellStyleXfs>
  <cellXfs count="306">
    <xf numFmtId="0" fontId="0" fillId="0" borderId="0" xfId="0"/>
    <xf numFmtId="0" fontId="0" fillId="0" borderId="13" xfId="0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3" borderId="16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2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164" fontId="0" fillId="0" borderId="4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164" fontId="0" fillId="0" borderId="23" xfId="0" applyNumberFormat="1" applyBorder="1" applyAlignment="1">
      <alignment vertical="center" wrapText="1"/>
    </xf>
    <xf numFmtId="164" fontId="0" fillId="2" borderId="10" xfId="0" applyNumberFormat="1" applyFill="1" applyBorder="1" applyAlignment="1">
      <alignment vertical="center" wrapText="1"/>
    </xf>
    <xf numFmtId="164" fontId="2" fillId="0" borderId="26" xfId="0" applyNumberFormat="1" applyFont="1" applyBorder="1" applyAlignment="1">
      <alignment vertical="center"/>
    </xf>
    <xf numFmtId="0" fontId="5" fillId="2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0" fontId="6" fillId="4" borderId="3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 vertical="center" wrapText="1"/>
    </xf>
    <xf numFmtId="10" fontId="5" fillId="2" borderId="25" xfId="0" applyNumberFormat="1" applyFon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0" fillId="0" borderId="3" xfId="0" applyNumberFormat="1" applyBorder="1" applyAlignment="1">
      <alignment vertical="center" wrapText="1"/>
    </xf>
    <xf numFmtId="0" fontId="2" fillId="0" borderId="0" xfId="0" applyFont="1" applyAlignment="1">
      <alignment vertical="center"/>
    </xf>
    <xf numFmtId="164" fontId="0" fillId="0" borderId="6" xfId="0" applyNumberFormat="1" applyBorder="1" applyAlignment="1">
      <alignment vertical="center" wrapText="1"/>
    </xf>
    <xf numFmtId="10" fontId="6" fillId="4" borderId="3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10" fontId="0" fillId="0" borderId="6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 wrapText="1"/>
    </xf>
    <xf numFmtId="10" fontId="0" fillId="0" borderId="15" xfId="0" applyNumberFormat="1" applyBorder="1" applyAlignment="1">
      <alignment horizontal="center" vertical="center" wrapText="1"/>
    </xf>
    <xf numFmtId="10" fontId="5" fillId="2" borderId="31" xfId="0" applyNumberFormat="1" applyFont="1" applyFill="1" applyBorder="1" applyAlignment="1">
      <alignment horizontal="center" vertical="center" wrapText="1"/>
    </xf>
    <xf numFmtId="165" fontId="5" fillId="2" borderId="25" xfId="0" applyNumberFormat="1" applyFont="1" applyFill="1" applyBorder="1" applyAlignment="1">
      <alignment horizontal="center" vertical="center" wrapText="1"/>
    </xf>
    <xf numFmtId="164" fontId="5" fillId="2" borderId="2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10" fontId="0" fillId="0" borderId="6" xfId="0" applyNumberFormat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164" fontId="0" fillId="0" borderId="13" xfId="0" applyNumberFormat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0" fontId="13" fillId="0" borderId="0" xfId="0" applyFont="1"/>
    <xf numFmtId="0" fontId="16" fillId="7" borderId="24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0" xfId="0" applyFont="1"/>
    <xf numFmtId="0" fontId="16" fillId="11" borderId="24" xfId="0" applyFont="1" applyFill="1" applyBorder="1" applyAlignment="1">
      <alignment horizontal="center" vertical="center" wrapText="1"/>
    </xf>
    <xf numFmtId="0" fontId="16" fillId="7" borderId="22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justify" vertical="center" wrapText="1"/>
    </xf>
    <xf numFmtId="0" fontId="16" fillId="11" borderId="22" xfId="0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33" xfId="0" applyFont="1" applyBorder="1" applyAlignment="1">
      <alignment horizontal="center" vertical="center"/>
    </xf>
    <xf numFmtId="166" fontId="19" fillId="0" borderId="0" xfId="1" applyNumberFormat="1" applyFont="1" applyAlignment="1">
      <alignment vertical="center" wrapText="1"/>
    </xf>
    <xf numFmtId="167" fontId="17" fillId="12" borderId="6" xfId="3" applyFont="1" applyFill="1" applyBorder="1" applyAlignment="1" applyProtection="1">
      <alignment horizontal="center" vertical="center"/>
      <protection locked="0"/>
    </xf>
    <xf numFmtId="167" fontId="17" fillId="0" borderId="6" xfId="3" applyFont="1" applyBorder="1" applyAlignment="1" applyProtection="1">
      <alignment horizontal="center" vertical="center"/>
    </xf>
    <xf numFmtId="167" fontId="16" fillId="8" borderId="6" xfId="3" applyFont="1" applyFill="1" applyBorder="1" applyAlignment="1" applyProtection="1">
      <alignment horizontal="center" vertical="center"/>
    </xf>
    <xf numFmtId="167" fontId="16" fillId="11" borderId="6" xfId="3" applyFont="1" applyFill="1" applyBorder="1" applyAlignment="1" applyProtection="1">
      <alignment horizontal="center" vertical="center"/>
    </xf>
    <xf numFmtId="0" fontId="16" fillId="7" borderId="27" xfId="0" applyFont="1" applyFill="1" applyBorder="1" applyAlignment="1">
      <alignment horizontal="center" vertical="center" wrapText="1"/>
    </xf>
    <xf numFmtId="167" fontId="17" fillId="0" borderId="7" xfId="3" applyFont="1" applyBorder="1" applyAlignment="1" applyProtection="1">
      <alignment horizontal="center" vertical="center"/>
    </xf>
    <xf numFmtId="167" fontId="17" fillId="8" borderId="7" xfId="3" applyFont="1" applyFill="1" applyBorder="1" applyAlignment="1" applyProtection="1">
      <alignment horizontal="center" vertical="center"/>
    </xf>
    <xf numFmtId="167" fontId="16" fillId="8" borderId="8" xfId="0" applyNumberFormat="1" applyFont="1" applyFill="1" applyBorder="1"/>
    <xf numFmtId="0" fontId="16" fillId="11" borderId="27" xfId="0" applyFont="1" applyFill="1" applyBorder="1" applyAlignment="1">
      <alignment horizontal="center" vertical="center" wrapText="1"/>
    </xf>
    <xf numFmtId="167" fontId="17" fillId="11" borderId="7" xfId="3" applyFont="1" applyFill="1" applyBorder="1" applyAlignment="1" applyProtection="1">
      <alignment horizontal="center" vertical="center"/>
    </xf>
    <xf numFmtId="167" fontId="16" fillId="11" borderId="8" xfId="0" applyNumberFormat="1" applyFont="1" applyFill="1" applyBorder="1"/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6" xfId="0" applyFont="1" applyBorder="1" applyAlignment="1">
      <alignment vertical="top" wrapText="1"/>
    </xf>
    <xf numFmtId="0" fontId="24" fillId="0" borderId="6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justify" vertical="top" wrapText="1"/>
    </xf>
    <xf numFmtId="0" fontId="24" fillId="0" borderId="46" xfId="0" applyFont="1" applyBorder="1" applyAlignment="1">
      <alignment horizont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/>
    </xf>
    <xf numFmtId="0" fontId="24" fillId="6" borderId="6" xfId="0" applyFont="1" applyFill="1" applyBorder="1" applyAlignment="1">
      <alignment horizontal="center" vertical="top" wrapText="1"/>
    </xf>
    <xf numFmtId="0" fontId="23" fillId="13" borderId="6" xfId="0" applyFont="1" applyFill="1" applyBorder="1" applyAlignment="1">
      <alignment horizontal="center" vertical="top" wrapText="1"/>
    </xf>
    <xf numFmtId="167" fontId="27" fillId="12" borderId="6" xfId="3" applyFont="1" applyFill="1" applyBorder="1" applyAlignment="1" applyProtection="1">
      <alignment horizontal="center" vertical="top" wrapText="1"/>
      <protection locked="0"/>
    </xf>
    <xf numFmtId="0" fontId="28" fillId="0" borderId="0" xfId="0" applyFont="1"/>
    <xf numFmtId="0" fontId="23" fillId="6" borderId="6" xfId="0" applyFont="1" applyFill="1" applyBorder="1" applyAlignment="1">
      <alignment horizontal="center" vertical="top" wrapText="1"/>
    </xf>
    <xf numFmtId="167" fontId="24" fillId="6" borderId="6" xfId="3" applyFont="1" applyFill="1" applyBorder="1" applyAlignment="1" applyProtection="1">
      <alignment horizontal="center" vertical="top" wrapText="1"/>
    </xf>
    <xf numFmtId="0" fontId="24" fillId="13" borderId="0" xfId="0" applyFont="1" applyFill="1" applyAlignment="1">
      <alignment horizontal="center" vertical="top" wrapText="1"/>
    </xf>
    <xf numFmtId="0" fontId="24" fillId="13" borderId="46" xfId="0" applyFont="1" applyFill="1" applyBorder="1" applyAlignment="1">
      <alignment horizontal="center" vertical="top" wrapText="1"/>
    </xf>
    <xf numFmtId="4" fontId="29" fillId="0" borderId="0" xfId="0" applyNumberFormat="1" applyFont="1"/>
    <xf numFmtId="167" fontId="27" fillId="13" borderId="6" xfId="3" applyFont="1" applyFill="1" applyBorder="1" applyAlignment="1" applyProtection="1">
      <alignment horizontal="center" vertical="top" wrapText="1"/>
    </xf>
    <xf numFmtId="0" fontId="23" fillId="12" borderId="0" xfId="0" applyFont="1" applyFill="1"/>
    <xf numFmtId="0" fontId="24" fillId="6" borderId="6" xfId="0" applyFont="1" applyFill="1" applyBorder="1" applyAlignment="1">
      <alignment vertical="center" wrapText="1"/>
    </xf>
    <xf numFmtId="0" fontId="24" fillId="6" borderId="6" xfId="0" applyFont="1" applyFill="1" applyBorder="1" applyAlignment="1">
      <alignment horizontal="center"/>
    </xf>
    <xf numFmtId="0" fontId="31" fillId="0" borderId="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left" vertical="center" wrapText="1"/>
    </xf>
    <xf numFmtId="10" fontId="23" fillId="12" borderId="6" xfId="0" applyNumberFormat="1" applyFont="1" applyFill="1" applyBorder="1" applyAlignment="1" applyProtection="1">
      <alignment horizontal="center" vertical="center" wrapText="1"/>
      <protection locked="0"/>
    </xf>
    <xf numFmtId="167" fontId="23" fillId="0" borderId="6" xfId="3" applyFont="1" applyFill="1" applyBorder="1" applyAlignment="1" applyProtection="1">
      <alignment horizontal="center" vertical="center" wrapText="1"/>
    </xf>
    <xf numFmtId="10" fontId="23" fillId="12" borderId="6" xfId="0" applyNumberFormat="1" applyFont="1" applyFill="1" applyBorder="1" applyAlignment="1" applyProtection="1">
      <alignment horizontal="center" vertical="top" wrapText="1"/>
      <protection locked="0"/>
    </xf>
    <xf numFmtId="0" fontId="32" fillId="13" borderId="6" xfId="0" applyFont="1" applyFill="1" applyBorder="1" applyAlignment="1">
      <alignment horizontal="center" vertical="top" wrapText="1"/>
    </xf>
    <xf numFmtId="0" fontId="33" fillId="13" borderId="32" xfId="0" applyFont="1" applyFill="1" applyBorder="1" applyAlignment="1">
      <alignment vertical="top" wrapText="1"/>
    </xf>
    <xf numFmtId="0" fontId="23" fillId="0" borderId="40" xfId="0" applyFont="1" applyBorder="1"/>
    <xf numFmtId="0" fontId="23" fillId="0" borderId="33" xfId="0" applyFont="1" applyBorder="1"/>
    <xf numFmtId="0" fontId="23" fillId="13" borderId="6" xfId="0" applyFont="1" applyFill="1" applyBorder="1" applyAlignment="1">
      <alignment vertical="top" wrapText="1"/>
    </xf>
    <xf numFmtId="0" fontId="23" fillId="13" borderId="40" xfId="0" applyFont="1" applyFill="1" applyBorder="1" applyAlignment="1">
      <alignment vertical="top" wrapText="1"/>
    </xf>
    <xf numFmtId="0" fontId="23" fillId="13" borderId="33" xfId="0" applyFont="1" applyFill="1" applyBorder="1" applyAlignment="1">
      <alignment vertical="top" wrapText="1"/>
    </xf>
    <xf numFmtId="0" fontId="32" fillId="13" borderId="6" xfId="0" applyFont="1" applyFill="1" applyBorder="1" applyAlignment="1">
      <alignment horizontal="center" vertical="center" wrapText="1"/>
    </xf>
    <xf numFmtId="0" fontId="23" fillId="12" borderId="6" xfId="0" applyFont="1" applyFill="1" applyBorder="1" applyAlignment="1" applyProtection="1">
      <alignment vertical="top" wrapText="1"/>
      <protection locked="0"/>
    </xf>
    <xf numFmtId="10" fontId="24" fillId="6" borderId="6" xfId="0" applyNumberFormat="1" applyFont="1" applyFill="1" applyBorder="1" applyAlignment="1">
      <alignment horizontal="center"/>
    </xf>
    <xf numFmtId="167" fontId="24" fillId="6" borderId="6" xfId="3" applyFont="1" applyFill="1" applyBorder="1" applyAlignment="1" applyProtection="1">
      <alignment horizontal="center"/>
    </xf>
    <xf numFmtId="10" fontId="33" fillId="13" borderId="0" xfId="0" applyNumberFormat="1" applyFont="1" applyFill="1" applyAlignment="1">
      <alignment horizontal="center"/>
    </xf>
    <xf numFmtId="2" fontId="24" fillId="13" borderId="0" xfId="0" applyNumberFormat="1" applyFont="1" applyFill="1" applyAlignment="1">
      <alignment horizontal="center"/>
    </xf>
    <xf numFmtId="0" fontId="23" fillId="0" borderId="6" xfId="0" applyFont="1" applyBorder="1" applyAlignment="1">
      <alignment horizontal="center" vertical="center"/>
    </xf>
    <xf numFmtId="167" fontId="24" fillId="8" borderId="6" xfId="3" applyFont="1" applyFill="1" applyBorder="1" applyAlignment="1" applyProtection="1">
      <alignment horizontal="center" vertical="center" wrapText="1"/>
    </xf>
    <xf numFmtId="0" fontId="34" fillId="0" borderId="6" xfId="0" applyFont="1" applyBorder="1" applyAlignment="1">
      <alignment horizontal="center" wrapText="1"/>
    </xf>
    <xf numFmtId="167" fontId="23" fillId="0" borderId="6" xfId="3" applyFont="1" applyFill="1" applyBorder="1" applyAlignment="1" applyProtection="1">
      <alignment horizontal="center" wrapText="1"/>
    </xf>
    <xf numFmtId="0" fontId="23" fillId="8" borderId="6" xfId="0" applyFont="1" applyFill="1" applyBorder="1" applyAlignment="1">
      <alignment horizontal="center" wrapText="1"/>
    </xf>
    <xf numFmtId="167" fontId="24" fillId="8" borderId="6" xfId="3" applyFont="1" applyFill="1" applyBorder="1" applyAlignment="1" applyProtection="1">
      <alignment horizontal="left" vertical="top" wrapText="1"/>
    </xf>
    <xf numFmtId="43" fontId="24" fillId="5" borderId="6" xfId="0" applyNumberFormat="1" applyFont="1" applyFill="1" applyBorder="1" applyAlignment="1" applyProtection="1">
      <alignment vertical="center"/>
      <protection locked="0"/>
    </xf>
    <xf numFmtId="8" fontId="37" fillId="0" borderId="6" xfId="4" applyNumberFormat="1" applyFont="1" applyBorder="1" applyAlignment="1">
      <alignment vertical="center"/>
    </xf>
    <xf numFmtId="0" fontId="38" fillId="8" borderId="6" xfId="0" applyFont="1" applyFill="1" applyBorder="1" applyAlignment="1">
      <alignment vertical="center"/>
    </xf>
    <xf numFmtId="10" fontId="11" fillId="12" borderId="6" xfId="4" applyNumberFormat="1" applyFont="1" applyFill="1" applyBorder="1" applyAlignment="1">
      <alignment vertical="center"/>
    </xf>
    <xf numFmtId="10" fontId="11" fillId="0" borderId="6" xfId="4" applyNumberFormat="1" applyFont="1" applyBorder="1" applyAlignment="1">
      <alignment vertical="center"/>
    </xf>
    <xf numFmtId="10" fontId="37" fillId="0" borderId="6" xfId="4" applyNumberFormat="1" applyFont="1" applyBorder="1" applyAlignment="1">
      <alignment vertical="center"/>
    </xf>
    <xf numFmtId="10" fontId="37" fillId="8" borderId="6" xfId="4" applyNumberFormat="1" applyFont="1" applyFill="1" applyBorder="1" applyAlignment="1">
      <alignment vertical="center"/>
    </xf>
    <xf numFmtId="8" fontId="36" fillId="6" borderId="6" xfId="4" applyNumberFormat="1" applyFont="1" applyFill="1" applyBorder="1" applyAlignment="1">
      <alignment vertical="center"/>
    </xf>
    <xf numFmtId="0" fontId="38" fillId="13" borderId="0" xfId="0" applyFont="1" applyFill="1" applyAlignment="1">
      <alignment vertical="center"/>
    </xf>
    <xf numFmtId="0" fontId="39" fillId="0" borderId="0" xfId="0" applyFont="1" applyAlignment="1">
      <alignment horizontal="justify" vertical="center"/>
    </xf>
    <xf numFmtId="168" fontId="40" fillId="0" borderId="0" xfId="2" applyNumberFormat="1" applyFont="1" applyFill="1" applyAlignment="1">
      <alignment vertical="center"/>
    </xf>
    <xf numFmtId="4" fontId="39" fillId="0" borderId="0" xfId="0" applyNumberFormat="1" applyFont="1" applyAlignment="1">
      <alignment vertical="center"/>
    </xf>
    <xf numFmtId="0" fontId="15" fillId="15" borderId="51" xfId="0" applyFont="1" applyFill="1" applyBorder="1" applyAlignment="1">
      <alignment horizontal="center" vertical="center" wrapText="1"/>
    </xf>
    <xf numFmtId="0" fontId="0" fillId="16" borderId="52" xfId="0" applyFill="1" applyBorder="1" applyAlignment="1">
      <alignment horizontal="center" vertical="center" wrapText="1"/>
    </xf>
    <xf numFmtId="0" fontId="0" fillId="16" borderId="52" xfId="0" applyFill="1" applyBorder="1" applyAlignment="1">
      <alignment horizontal="left" vertical="center" wrapText="1"/>
    </xf>
    <xf numFmtId="44" fontId="0" fillId="16" borderId="52" xfId="1" applyFont="1" applyFill="1" applyBorder="1" applyAlignment="1">
      <alignment horizontal="center" vertical="center" wrapText="1"/>
    </xf>
    <xf numFmtId="169" fontId="0" fillId="16" borderId="52" xfId="0" applyNumberFormat="1" applyFill="1" applyBorder="1" applyAlignment="1">
      <alignment horizontal="center" vertical="center" wrapText="1"/>
    </xf>
    <xf numFmtId="44" fontId="0" fillId="16" borderId="52" xfId="0" applyNumberFormat="1" applyFill="1" applyBorder="1" applyAlignment="1">
      <alignment horizontal="center" vertical="center" wrapText="1"/>
    </xf>
    <xf numFmtId="0" fontId="0" fillId="17" borderId="52" xfId="0" applyFill="1" applyBorder="1" applyAlignment="1">
      <alignment horizontal="center" vertical="center" wrapText="1"/>
    </xf>
    <xf numFmtId="0" fontId="0" fillId="17" borderId="52" xfId="0" applyFill="1" applyBorder="1" applyAlignment="1">
      <alignment horizontal="left" vertical="center" wrapText="1"/>
    </xf>
    <xf numFmtId="44" fontId="0" fillId="17" borderId="52" xfId="1" applyFont="1" applyFill="1" applyBorder="1" applyAlignment="1">
      <alignment horizontal="center" vertical="center" wrapText="1"/>
    </xf>
    <xf numFmtId="169" fontId="0" fillId="17" borderId="52" xfId="0" applyNumberFormat="1" applyFill="1" applyBorder="1" applyAlignment="1">
      <alignment horizontal="center" vertical="center" wrapText="1"/>
    </xf>
    <xf numFmtId="44" fontId="0" fillId="17" borderId="52" xfId="0" applyNumberFormat="1" applyFill="1" applyBorder="1" applyAlignment="1">
      <alignment horizontal="center" vertical="center" wrapText="1"/>
    </xf>
    <xf numFmtId="0" fontId="0" fillId="9" borderId="51" xfId="0" applyFill="1" applyBorder="1" applyAlignment="1">
      <alignment horizontal="center" vertical="center" wrapText="1"/>
    </xf>
    <xf numFmtId="0" fontId="0" fillId="9" borderId="51" xfId="0" applyFill="1" applyBorder="1" applyAlignment="1">
      <alignment horizontal="left" vertical="center" wrapText="1"/>
    </xf>
    <xf numFmtId="44" fontId="0" fillId="9" borderId="51" xfId="1" applyFont="1" applyFill="1" applyBorder="1" applyAlignment="1">
      <alignment horizontal="center" vertical="center" wrapText="1"/>
    </xf>
    <xf numFmtId="44" fontId="0" fillId="9" borderId="51" xfId="0" applyNumberFormat="1" applyFill="1" applyBorder="1" applyAlignment="1">
      <alignment horizontal="center" vertical="center" wrapText="1"/>
    </xf>
    <xf numFmtId="0" fontId="0" fillId="9" borderId="52" xfId="0" applyFill="1" applyBorder="1" applyAlignment="1">
      <alignment horizontal="center" vertical="center" wrapText="1"/>
    </xf>
    <xf numFmtId="0" fontId="0" fillId="9" borderId="52" xfId="0" applyFill="1" applyBorder="1" applyAlignment="1">
      <alignment horizontal="left" vertical="center" wrapText="1"/>
    </xf>
    <xf numFmtId="44" fontId="0" fillId="9" borderId="52" xfId="0" applyNumberFormat="1" applyFill="1" applyBorder="1" applyAlignment="1">
      <alignment horizontal="center" vertical="center" wrapText="1"/>
    </xf>
    <xf numFmtId="44" fontId="15" fillId="18" borderId="6" xfId="0" applyNumberFormat="1" applyFont="1" applyFill="1" applyBorder="1" applyAlignment="1">
      <alignment horizontal="center" vertical="center" wrapText="1"/>
    </xf>
    <xf numFmtId="0" fontId="15" fillId="13" borderId="0" xfId="0" applyFont="1" applyFill="1" applyAlignment="1">
      <alignment horizontal="center" vertical="center" wrapText="1"/>
    </xf>
    <xf numFmtId="0" fontId="15" fillId="13" borderId="0" xfId="0" applyFont="1" applyFill="1" applyAlignment="1">
      <alignment vertical="center" wrapText="1"/>
    </xf>
    <xf numFmtId="8" fontId="0" fillId="13" borderId="0" xfId="0" applyNumberFormat="1" applyFill="1" applyAlignment="1">
      <alignment horizontal="center" vertical="center" wrapText="1"/>
    </xf>
    <xf numFmtId="0" fontId="15" fillId="18" borderId="53" xfId="0" applyFont="1" applyFill="1" applyBorder="1" applyAlignment="1">
      <alignment horizontal="center" vertical="center" wrapText="1"/>
    </xf>
    <xf numFmtId="0" fontId="0" fillId="20" borderId="52" xfId="0" applyFill="1" applyBorder="1" applyAlignment="1">
      <alignment horizontal="center" vertical="center" wrapText="1"/>
    </xf>
    <xf numFmtId="0" fontId="0" fillId="20" borderId="52" xfId="0" applyFill="1" applyBorder="1" applyAlignment="1">
      <alignment horizontal="left" vertical="center" wrapText="1"/>
    </xf>
    <xf numFmtId="44" fontId="0" fillId="20" borderId="52" xfId="1" applyFont="1" applyFill="1" applyBorder="1" applyAlignment="1">
      <alignment horizontal="center" vertical="center" wrapText="1"/>
    </xf>
    <xf numFmtId="8" fontId="0" fillId="9" borderId="51" xfId="1" applyNumberFormat="1" applyFont="1" applyFill="1" applyBorder="1" applyAlignment="1">
      <alignment horizontal="center" vertical="center" wrapText="1"/>
    </xf>
    <xf numFmtId="44" fontId="15" fillId="15" borderId="6" xfId="0" applyNumberFormat="1" applyFont="1" applyFill="1" applyBorder="1" applyAlignment="1">
      <alignment vertical="center" wrapText="1"/>
    </xf>
    <xf numFmtId="44" fontId="15" fillId="15" borderId="6" xfId="0" applyNumberFormat="1" applyFont="1" applyFill="1" applyBorder="1" applyAlignment="1">
      <alignment horizontal="center" vertical="center" wrapText="1"/>
    </xf>
    <xf numFmtId="44" fontId="15" fillId="22" borderId="6" xfId="0" applyNumberFormat="1" applyFont="1" applyFill="1" applyBorder="1"/>
    <xf numFmtId="0" fontId="12" fillId="0" borderId="6" xfId="0" applyFont="1" applyBorder="1" applyAlignment="1">
      <alignment horizontal="center" vertical="center" wrapText="1"/>
    </xf>
    <xf numFmtId="8" fontId="0" fillId="9" borderId="52" xfId="0" applyNumberForma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9" fontId="15" fillId="18" borderId="6" xfId="0" applyNumberFormat="1" applyFont="1" applyFill="1" applyBorder="1" applyAlignment="1">
      <alignment vertical="center" wrapText="1"/>
    </xf>
    <xf numFmtId="0" fontId="15" fillId="14" borderId="48" xfId="0" applyFont="1" applyFill="1" applyBorder="1" applyAlignment="1">
      <alignment horizontal="center" vertical="center" wrapText="1"/>
    </xf>
    <xf numFmtId="0" fontId="15" fillId="14" borderId="49" xfId="0" applyFont="1" applyFill="1" applyBorder="1" applyAlignment="1">
      <alignment horizontal="center" vertical="center" wrapText="1"/>
    </xf>
    <xf numFmtId="0" fontId="15" fillId="14" borderId="50" xfId="0" applyFont="1" applyFill="1" applyBorder="1" applyAlignment="1">
      <alignment horizontal="center" vertical="center" wrapText="1"/>
    </xf>
    <xf numFmtId="0" fontId="15" fillId="18" borderId="32" xfId="0" applyFont="1" applyFill="1" applyBorder="1" applyAlignment="1">
      <alignment horizontal="center" vertical="center" wrapText="1"/>
    </xf>
    <xf numFmtId="0" fontId="15" fillId="18" borderId="40" xfId="0" applyFont="1" applyFill="1" applyBorder="1" applyAlignment="1">
      <alignment horizontal="center" vertical="center" wrapText="1"/>
    </xf>
    <xf numFmtId="0" fontId="15" fillId="18" borderId="33" xfId="0" applyFont="1" applyFill="1" applyBorder="1" applyAlignment="1">
      <alignment horizontal="center" vertical="center" wrapText="1"/>
    </xf>
    <xf numFmtId="0" fontId="15" fillId="19" borderId="6" xfId="0" applyFont="1" applyFill="1" applyBorder="1" applyAlignment="1">
      <alignment horizontal="center" vertical="center" wrapText="1"/>
    </xf>
    <xf numFmtId="0" fontId="15" fillId="15" borderId="32" xfId="0" applyFont="1" applyFill="1" applyBorder="1" applyAlignment="1">
      <alignment horizontal="center" vertical="center" wrapText="1"/>
    </xf>
    <xf numFmtId="0" fontId="15" fillId="15" borderId="40" xfId="0" applyFont="1" applyFill="1" applyBorder="1" applyAlignment="1">
      <alignment horizontal="center" vertical="center" wrapText="1"/>
    </xf>
    <xf numFmtId="0" fontId="15" fillId="15" borderId="33" xfId="0" applyFont="1" applyFill="1" applyBorder="1" applyAlignment="1">
      <alignment horizontal="center" vertical="center" wrapText="1"/>
    </xf>
    <xf numFmtId="0" fontId="15" fillId="21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25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164" fontId="5" fillId="2" borderId="2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left" vertical="center" wrapText="1"/>
    </xf>
    <xf numFmtId="17" fontId="0" fillId="3" borderId="19" xfId="0" applyNumberFormat="1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4" fillId="5" borderId="6" xfId="0" applyFont="1" applyFill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top" wrapText="1"/>
    </xf>
    <xf numFmtId="0" fontId="22" fillId="5" borderId="34" xfId="0" applyFont="1" applyFill="1" applyBorder="1" applyAlignment="1">
      <alignment horizontal="center" vertical="center"/>
    </xf>
    <xf numFmtId="0" fontId="22" fillId="5" borderId="39" xfId="0" applyFont="1" applyFill="1" applyBorder="1" applyAlignment="1">
      <alignment horizontal="center" vertical="center"/>
    </xf>
    <xf numFmtId="0" fontId="22" fillId="5" borderId="43" xfId="0" applyFont="1" applyFill="1" applyBorder="1" applyAlignment="1">
      <alignment horizontal="center" vertical="center"/>
    </xf>
    <xf numFmtId="0" fontId="24" fillId="8" borderId="6" xfId="0" applyFont="1" applyFill="1" applyBorder="1" applyAlignment="1">
      <alignment horizontal="center" vertical="center" wrapText="1"/>
    </xf>
    <xf numFmtId="3" fontId="27" fillId="0" borderId="32" xfId="0" applyNumberFormat="1" applyFont="1" applyBorder="1" applyAlignment="1">
      <alignment horizontal="center" vertical="top" wrapText="1"/>
    </xf>
    <xf numFmtId="3" fontId="27" fillId="0" borderId="33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0" fontId="24" fillId="0" borderId="46" xfId="0" applyFont="1" applyBorder="1" applyAlignment="1">
      <alignment horizontal="center"/>
    </xf>
    <xf numFmtId="0" fontId="24" fillId="6" borderId="32" xfId="0" applyFont="1" applyFill="1" applyBorder="1" applyAlignment="1">
      <alignment horizontal="left" vertical="top" wrapText="1"/>
    </xf>
    <xf numFmtId="0" fontId="24" fillId="6" borderId="33" xfId="0" applyFont="1" applyFill="1" applyBorder="1" applyAlignment="1">
      <alignment horizontal="left" vertical="top" wrapText="1"/>
    </xf>
    <xf numFmtId="0" fontId="24" fillId="5" borderId="32" xfId="0" applyFont="1" applyFill="1" applyBorder="1" applyAlignment="1">
      <alignment horizontal="left" vertical="center" wrapText="1"/>
    </xf>
    <xf numFmtId="0" fontId="24" fillId="5" borderId="33" xfId="0" applyFont="1" applyFill="1" applyBorder="1" applyAlignment="1">
      <alignment horizontal="left" vertical="center" wrapText="1"/>
    </xf>
    <xf numFmtId="3" fontId="24" fillId="0" borderId="32" xfId="0" applyNumberFormat="1" applyFont="1" applyBorder="1" applyAlignment="1">
      <alignment horizontal="center" vertical="top" wrapText="1"/>
    </xf>
    <xf numFmtId="0" fontId="24" fillId="0" borderId="33" xfId="0" applyFont="1" applyBorder="1" applyAlignment="1">
      <alignment horizontal="center" vertical="top" wrapText="1"/>
    </xf>
    <xf numFmtId="0" fontId="24" fillId="5" borderId="0" xfId="0" applyFont="1" applyFill="1" applyAlignment="1">
      <alignment horizontal="center"/>
    </xf>
    <xf numFmtId="0" fontId="23" fillId="13" borderId="32" xfId="0" applyFont="1" applyFill="1" applyBorder="1" applyAlignment="1">
      <alignment horizontal="left" wrapText="1"/>
    </xf>
    <xf numFmtId="0" fontId="23" fillId="13" borderId="33" xfId="0" applyFont="1" applyFill="1" applyBorder="1" applyAlignment="1">
      <alignment horizontal="left" wrapText="1"/>
    </xf>
    <xf numFmtId="0" fontId="23" fillId="12" borderId="32" xfId="0" quotePrefix="1" applyFont="1" applyFill="1" applyBorder="1" applyAlignment="1" applyProtection="1">
      <alignment horizontal="left" vertical="top" wrapText="1"/>
      <protection locked="0"/>
    </xf>
    <xf numFmtId="0" fontId="23" fillId="12" borderId="33" xfId="0" quotePrefix="1" applyFont="1" applyFill="1" applyBorder="1" applyAlignment="1" applyProtection="1">
      <alignment horizontal="left" vertical="top" wrapText="1"/>
      <protection locked="0"/>
    </xf>
    <xf numFmtId="0" fontId="24" fillId="6" borderId="6" xfId="0" applyFont="1" applyFill="1" applyBorder="1" applyAlignment="1">
      <alignment horizontal="center" vertical="top" wrapText="1"/>
    </xf>
    <xf numFmtId="0" fontId="24" fillId="13" borderId="0" xfId="0" applyFont="1" applyFill="1" applyAlignment="1">
      <alignment horizontal="center" vertical="top" wrapText="1"/>
    </xf>
    <xf numFmtId="0" fontId="23" fillId="13" borderId="6" xfId="0" applyFont="1" applyFill="1" applyBorder="1" applyAlignment="1">
      <alignment horizontal="left" wrapText="1"/>
    </xf>
    <xf numFmtId="0" fontId="30" fillId="13" borderId="32" xfId="0" applyFont="1" applyFill="1" applyBorder="1" applyAlignment="1">
      <alignment horizontal="center" wrapText="1"/>
    </xf>
    <xf numFmtId="0" fontId="30" fillId="13" borderId="40" xfId="0" applyFont="1" applyFill="1" applyBorder="1" applyAlignment="1">
      <alignment horizontal="center" wrapText="1"/>
    </xf>
    <xf numFmtId="0" fontId="30" fillId="13" borderId="33" xfId="0" applyFont="1" applyFill="1" applyBorder="1" applyAlignment="1">
      <alignment horizontal="center" wrapText="1"/>
    </xf>
    <xf numFmtId="0" fontId="23" fillId="0" borderId="32" xfId="0" applyFont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3" fillId="12" borderId="32" xfId="0" applyFont="1" applyFill="1" applyBorder="1" applyAlignment="1" applyProtection="1">
      <alignment horizontal="left" vertical="top" wrapText="1"/>
      <protection locked="0"/>
    </xf>
    <xf numFmtId="0" fontId="23" fillId="12" borderId="33" xfId="0" applyFont="1" applyFill="1" applyBorder="1" applyAlignment="1" applyProtection="1">
      <alignment horizontal="left" vertical="top" wrapText="1"/>
      <protection locked="0"/>
    </xf>
    <xf numFmtId="0" fontId="24" fillId="5" borderId="32" xfId="0" applyFont="1" applyFill="1" applyBorder="1" applyAlignment="1">
      <alignment horizontal="center" vertical="center"/>
    </xf>
    <xf numFmtId="0" fontId="24" fillId="5" borderId="40" xfId="0" applyFont="1" applyFill="1" applyBorder="1" applyAlignment="1">
      <alignment horizontal="center" vertical="center"/>
    </xf>
    <xf numFmtId="0" fontId="24" fillId="5" borderId="33" xfId="0" applyFont="1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top" wrapText="1"/>
    </xf>
    <xf numFmtId="0" fontId="24" fillId="0" borderId="6" xfId="0" applyFont="1" applyBorder="1" applyAlignment="1">
      <alignment horizontal="left" vertical="top" wrapText="1"/>
    </xf>
    <xf numFmtId="0" fontId="24" fillId="6" borderId="32" xfId="0" applyFont="1" applyFill="1" applyBorder="1" applyAlignment="1">
      <alignment horizontal="center"/>
    </xf>
    <xf numFmtId="0" fontId="24" fillId="6" borderId="40" xfId="0" applyFont="1" applyFill="1" applyBorder="1" applyAlignment="1">
      <alignment horizontal="center"/>
    </xf>
    <xf numFmtId="0" fontId="33" fillId="13" borderId="47" xfId="0" applyFont="1" applyFill="1" applyBorder="1" applyAlignment="1">
      <alignment horizontal="center"/>
    </xf>
    <xf numFmtId="0" fontId="24" fillId="5" borderId="46" xfId="0" applyFont="1" applyFill="1" applyBorder="1" applyAlignment="1">
      <alignment horizontal="center"/>
    </xf>
    <xf numFmtId="0" fontId="23" fillId="0" borderId="6" xfId="0" applyFont="1" applyBorder="1" applyAlignment="1">
      <alignment horizontal="left" vertical="top" wrapText="1"/>
    </xf>
    <xf numFmtId="0" fontId="24" fillId="8" borderId="6" xfId="0" applyFont="1" applyFill="1" applyBorder="1" applyAlignment="1">
      <alignment horizontal="center" vertical="top" wrapText="1"/>
    </xf>
    <xf numFmtId="0" fontId="23" fillId="0" borderId="6" xfId="0" applyFont="1" applyBorder="1" applyAlignment="1">
      <alignment horizontal="left" vertical="center" wrapText="1"/>
    </xf>
    <xf numFmtId="0" fontId="36" fillId="5" borderId="6" xfId="4" applyFont="1" applyFill="1" applyBorder="1" applyAlignment="1">
      <alignment horizontal="center" vertical="center"/>
    </xf>
    <xf numFmtId="0" fontId="37" fillId="8" borderId="6" xfId="4" applyFont="1" applyFill="1" applyBorder="1" applyAlignment="1">
      <alignment horizontal="center" vertical="center"/>
    </xf>
    <xf numFmtId="0" fontId="37" fillId="0" borderId="6" xfId="4" applyFont="1" applyBorder="1" applyAlignment="1">
      <alignment horizontal="center" vertical="center"/>
    </xf>
    <xf numFmtId="0" fontId="36" fillId="6" borderId="6" xfId="4" applyFont="1" applyFill="1" applyBorder="1" applyAlignment="1">
      <alignment horizontal="center" vertical="center"/>
    </xf>
    <xf numFmtId="0" fontId="16" fillId="9" borderId="34" xfId="0" applyFont="1" applyFill="1" applyBorder="1" applyAlignment="1">
      <alignment horizontal="center" vertical="center"/>
    </xf>
    <xf numFmtId="0" fontId="16" fillId="9" borderId="39" xfId="0" applyFont="1" applyFill="1" applyBorder="1" applyAlignment="1">
      <alignment horizontal="center" vertical="center"/>
    </xf>
    <xf numFmtId="0" fontId="16" fillId="9" borderId="43" xfId="0" applyFont="1" applyFill="1" applyBorder="1" applyAlignment="1">
      <alignment horizontal="center" vertical="center"/>
    </xf>
    <xf numFmtId="0" fontId="16" fillId="9" borderId="35" xfId="0" applyFont="1" applyFill="1" applyBorder="1" applyAlignment="1">
      <alignment horizontal="center" vertical="center"/>
    </xf>
    <xf numFmtId="0" fontId="16" fillId="9" borderId="0" xfId="0" applyFont="1" applyFill="1" applyAlignment="1">
      <alignment horizontal="center" vertical="center"/>
    </xf>
    <xf numFmtId="0" fontId="16" fillId="9" borderId="44" xfId="0" applyFont="1" applyFill="1" applyBorder="1" applyAlignment="1">
      <alignment horizontal="center" vertical="center"/>
    </xf>
    <xf numFmtId="0" fontId="16" fillId="10" borderId="36" xfId="0" applyFont="1" applyFill="1" applyBorder="1" applyAlignment="1">
      <alignment horizontal="center" vertical="center"/>
    </xf>
    <xf numFmtId="0" fontId="16" fillId="10" borderId="26" xfId="0" applyFont="1" applyFill="1" applyBorder="1" applyAlignment="1">
      <alignment horizontal="center" vertical="center"/>
    </xf>
    <xf numFmtId="0" fontId="16" fillId="10" borderId="45" xfId="0" applyFont="1" applyFill="1" applyBorder="1" applyAlignment="1">
      <alignment horizontal="center" vertical="center"/>
    </xf>
    <xf numFmtId="0" fontId="16" fillId="11" borderId="37" xfId="0" applyFont="1" applyFill="1" applyBorder="1" applyAlignment="1">
      <alignment horizontal="center"/>
    </xf>
    <xf numFmtId="0" fontId="16" fillId="11" borderId="40" xfId="0" applyFont="1" applyFill="1" applyBorder="1" applyAlignment="1">
      <alignment horizontal="center"/>
    </xf>
    <xf numFmtId="0" fontId="16" fillId="11" borderId="38" xfId="0" applyFont="1" applyFill="1" applyBorder="1" applyAlignment="1">
      <alignment horizontal="center"/>
    </xf>
    <xf numFmtId="0" fontId="16" fillId="11" borderId="41" xfId="0" applyFont="1" applyFill="1" applyBorder="1" applyAlignment="1">
      <alignment horizontal="center"/>
    </xf>
    <xf numFmtId="0" fontId="16" fillId="11" borderId="42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 vertical="center"/>
    </xf>
    <xf numFmtId="0" fontId="16" fillId="5" borderId="39" xfId="0" applyFont="1" applyFill="1" applyBorder="1" applyAlignment="1">
      <alignment horizontal="center" vertical="center"/>
    </xf>
    <xf numFmtId="0" fontId="16" fillId="5" borderId="43" xfId="0" applyFont="1" applyFill="1" applyBorder="1" applyAlignment="1">
      <alignment horizontal="center" vertical="center"/>
    </xf>
    <xf numFmtId="0" fontId="16" fillId="5" borderId="35" xfId="0" applyFont="1" applyFill="1" applyBorder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6" fillId="5" borderId="44" xfId="0" applyFont="1" applyFill="1" applyBorder="1" applyAlignment="1">
      <alignment horizontal="center" vertical="center"/>
    </xf>
    <xf numFmtId="0" fontId="16" fillId="6" borderId="36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45" xfId="0" applyFont="1" applyFill="1" applyBorder="1" applyAlignment="1">
      <alignment horizontal="center" vertical="center"/>
    </xf>
    <xf numFmtId="0" fontId="16" fillId="8" borderId="37" xfId="0" applyFont="1" applyFill="1" applyBorder="1" applyAlignment="1">
      <alignment horizontal="center"/>
    </xf>
    <xf numFmtId="0" fontId="16" fillId="8" borderId="40" xfId="0" applyFont="1" applyFill="1" applyBorder="1" applyAlignment="1">
      <alignment horizontal="center"/>
    </xf>
    <xf numFmtId="0" fontId="16" fillId="8" borderId="38" xfId="0" applyFont="1" applyFill="1" applyBorder="1" applyAlignment="1">
      <alignment horizontal="center"/>
    </xf>
    <xf numFmtId="0" fontId="16" fillId="8" borderId="41" xfId="0" applyFont="1" applyFill="1" applyBorder="1" applyAlignment="1">
      <alignment horizontal="center"/>
    </xf>
    <xf numFmtId="0" fontId="16" fillId="8" borderId="42" xfId="0" applyFont="1" applyFill="1" applyBorder="1" applyAlignment="1">
      <alignment horizontal="center"/>
    </xf>
  </cellXfs>
  <cellStyles count="5">
    <cellStyle name="Moeda" xfId="1" builtinId="4"/>
    <cellStyle name="Moeda 5" xfId="3" xr:uid="{6A7A8BEB-424C-4455-AE93-D0BA98C25E81}"/>
    <cellStyle name="Normal" xfId="0" builtinId="0"/>
    <cellStyle name="Normal 2 2 2" xfId="4" xr:uid="{063C314C-6EA0-44FC-9087-E1CC1138A300}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BBBBB"/>
      <rgbColor rgb="FF777777"/>
      <rgbColor rgb="FF9999FF"/>
      <rgbColor rgb="FF993366"/>
      <rgbColor rgb="FFF2F2F2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C443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48A4A-3D2F-4AB8-A94D-B46220C0356F}">
  <dimension ref="A1:H17"/>
  <sheetViews>
    <sheetView workbookViewId="0">
      <selection activeCell="C20" sqref="C20"/>
    </sheetView>
  </sheetViews>
  <sheetFormatPr defaultRowHeight="15"/>
  <cols>
    <col min="2" max="2" width="46" customWidth="1"/>
    <col min="3" max="3" width="8.85546875" customWidth="1"/>
    <col min="4" max="4" width="17.42578125" customWidth="1"/>
    <col min="5" max="5" width="17.85546875" customWidth="1"/>
    <col min="6" max="6" width="20" customWidth="1"/>
    <col min="7" max="7" width="15.42578125" customWidth="1"/>
    <col min="8" max="8" width="25.7109375" customWidth="1"/>
  </cols>
  <sheetData>
    <row r="1" spans="1:8">
      <c r="A1" s="183" t="s">
        <v>225</v>
      </c>
      <c r="B1" s="184"/>
      <c r="C1" s="184"/>
      <c r="D1" s="184"/>
      <c r="E1" s="184"/>
      <c r="F1" s="184"/>
      <c r="G1" s="184"/>
      <c r="H1" s="185"/>
    </row>
    <row r="2" spans="1:8" ht="30">
      <c r="A2" s="149" t="s">
        <v>226</v>
      </c>
      <c r="B2" s="149" t="s">
        <v>227</v>
      </c>
      <c r="C2" s="149" t="s">
        <v>160</v>
      </c>
      <c r="D2" s="149" t="s">
        <v>228</v>
      </c>
      <c r="E2" s="149" t="s">
        <v>242</v>
      </c>
      <c r="F2" s="149" t="s">
        <v>229</v>
      </c>
      <c r="G2" s="149" t="s">
        <v>230</v>
      </c>
      <c r="H2" s="149" t="s">
        <v>243</v>
      </c>
    </row>
    <row r="3" spans="1:8" ht="30">
      <c r="A3" s="150">
        <v>1</v>
      </c>
      <c r="B3" s="151" t="s">
        <v>231</v>
      </c>
      <c r="C3" s="150" t="s">
        <v>20</v>
      </c>
      <c r="D3" s="150">
        <v>5</v>
      </c>
      <c r="E3" s="150">
        <f>D3*24</f>
        <v>120</v>
      </c>
      <c r="F3" s="152">
        <f>'MOTORISTA SERV. TERC. (D)'!E139</f>
        <v>5877.1599358176427</v>
      </c>
      <c r="G3" s="153">
        <f>D3*F3</f>
        <v>29385.799679088213</v>
      </c>
      <c r="H3" s="154">
        <f>E3*F3</f>
        <v>705259.19229811709</v>
      </c>
    </row>
    <row r="4" spans="1:8" ht="30">
      <c r="A4" s="155">
        <v>2</v>
      </c>
      <c r="B4" s="156" t="s">
        <v>232</v>
      </c>
      <c r="C4" s="155" t="s">
        <v>20</v>
      </c>
      <c r="D4" s="155">
        <v>1</v>
      </c>
      <c r="E4" s="155">
        <f>D4*24</f>
        <v>24</v>
      </c>
      <c r="F4" s="157">
        <f>'OPERADOR DE MÁQUINA III'!E139</f>
        <v>6214.3698496894476</v>
      </c>
      <c r="G4" s="158">
        <f>F4*D4</f>
        <v>6214.3698496894476</v>
      </c>
      <c r="H4" s="159">
        <f>E4*F4</f>
        <v>149144.87639254675</v>
      </c>
    </row>
    <row r="5" spans="1:8">
      <c r="A5" s="160">
        <v>3</v>
      </c>
      <c r="B5" s="161" t="s">
        <v>233</v>
      </c>
      <c r="C5" s="160" t="s">
        <v>234</v>
      </c>
      <c r="D5" s="160"/>
      <c r="E5" s="160">
        <v>600</v>
      </c>
      <c r="F5" s="175">
        <f>DIÁRIAS!E23</f>
        <v>173.10999999999999</v>
      </c>
      <c r="G5" s="163"/>
      <c r="H5" s="163">
        <f>E5*F5</f>
        <v>103865.99999999999</v>
      </c>
    </row>
    <row r="6" spans="1:8">
      <c r="A6" s="164">
        <v>4</v>
      </c>
      <c r="B6" s="165" t="s">
        <v>235</v>
      </c>
      <c r="C6" s="164" t="s">
        <v>234</v>
      </c>
      <c r="D6" s="160"/>
      <c r="E6" s="164">
        <v>120</v>
      </c>
      <c r="F6" s="180">
        <f>DIÁRIAS!E11</f>
        <v>309.125</v>
      </c>
      <c r="G6" s="166"/>
      <c r="H6" s="166">
        <f>E6*F6</f>
        <v>37095</v>
      </c>
    </row>
    <row r="7" spans="1:8">
      <c r="A7" s="186" t="s">
        <v>236</v>
      </c>
      <c r="B7" s="187"/>
      <c r="C7" s="187"/>
      <c r="D7" s="187"/>
      <c r="E7" s="187"/>
      <c r="F7" s="188"/>
      <c r="G7" s="182">
        <f>G3+G4</f>
        <v>35600.16952877766</v>
      </c>
      <c r="H7" s="167">
        <f>SUM(H3:H6)</f>
        <v>995365.0686906639</v>
      </c>
    </row>
    <row r="8" spans="1:8">
      <c r="A8" s="168"/>
      <c r="B8" s="168"/>
      <c r="C8" s="168"/>
      <c r="D8" s="168"/>
      <c r="E8" s="168"/>
      <c r="F8" s="168"/>
      <c r="G8" s="169"/>
      <c r="H8" s="170"/>
    </row>
    <row r="9" spans="1:8">
      <c r="A9" s="189" t="s">
        <v>237</v>
      </c>
      <c r="B9" s="189"/>
      <c r="C9" s="189"/>
      <c r="D9" s="189"/>
      <c r="E9" s="189"/>
      <c r="F9" s="189"/>
      <c r="G9" s="189"/>
      <c r="H9" s="189"/>
    </row>
    <row r="10" spans="1:8" ht="30">
      <c r="A10" s="171" t="s">
        <v>226</v>
      </c>
      <c r="B10" s="171" t="s">
        <v>227</v>
      </c>
      <c r="C10" s="171" t="s">
        <v>160</v>
      </c>
      <c r="D10" s="171" t="s">
        <v>228</v>
      </c>
      <c r="E10" s="171" t="s">
        <v>242</v>
      </c>
      <c r="F10" s="171" t="s">
        <v>238</v>
      </c>
      <c r="G10" s="171" t="s">
        <v>230</v>
      </c>
      <c r="H10" s="171" t="s">
        <v>243</v>
      </c>
    </row>
    <row r="11" spans="1:8" ht="75">
      <c r="A11" s="172">
        <v>5</v>
      </c>
      <c r="B11" s="173" t="s">
        <v>239</v>
      </c>
      <c r="C11" s="172" t="s">
        <v>20</v>
      </c>
      <c r="D11" s="172">
        <v>1</v>
      </c>
      <c r="E11" s="172">
        <v>24</v>
      </c>
      <c r="F11" s="174">
        <f>'MOTORISTA SERV. TERC. (B)'!E139+VEÍCULO!D60</f>
        <v>12212.224276247547</v>
      </c>
      <c r="G11" s="174">
        <f>F11*D11</f>
        <v>12212.224276247547</v>
      </c>
      <c r="H11" s="174">
        <f>G11*E11</f>
        <v>293093.3826299411</v>
      </c>
    </row>
    <row r="12" spans="1:8">
      <c r="A12" s="160">
        <v>6</v>
      </c>
      <c r="B12" s="161" t="s">
        <v>233</v>
      </c>
      <c r="C12" s="160" t="s">
        <v>234</v>
      </c>
      <c r="D12" s="160"/>
      <c r="E12" s="160">
        <v>240</v>
      </c>
      <c r="F12" s="175">
        <f>DIÁRIAS!E23</f>
        <v>173.10999999999999</v>
      </c>
      <c r="G12" s="162"/>
      <c r="H12" s="162">
        <f>E12*F12</f>
        <v>41546.399999999994</v>
      </c>
    </row>
    <row r="13" spans="1:8">
      <c r="A13" s="160">
        <v>7</v>
      </c>
      <c r="B13" s="161" t="s">
        <v>235</v>
      </c>
      <c r="C13" s="160" t="s">
        <v>234</v>
      </c>
      <c r="D13" s="160"/>
      <c r="E13" s="160">
        <v>48</v>
      </c>
      <c r="F13" s="175">
        <f>DIÁRIAS!E11</f>
        <v>309.125</v>
      </c>
      <c r="G13" s="162"/>
      <c r="H13" s="162">
        <f>E13*F13</f>
        <v>14838</v>
      </c>
    </row>
    <row r="14" spans="1:8">
      <c r="A14" s="190" t="s">
        <v>240</v>
      </c>
      <c r="B14" s="191"/>
      <c r="C14" s="191"/>
      <c r="D14" s="191"/>
      <c r="E14" s="191"/>
      <c r="F14" s="192"/>
      <c r="G14" s="176">
        <f>G11</f>
        <v>12212.224276247547</v>
      </c>
      <c r="H14" s="177">
        <f>SUM(H11:H13)</f>
        <v>349477.78262994112</v>
      </c>
    </row>
    <row r="17" spans="6:8">
      <c r="F17" s="193" t="s">
        <v>241</v>
      </c>
      <c r="G17" s="193"/>
      <c r="H17" s="178">
        <f>H14+H7</f>
        <v>1344842.851320605</v>
      </c>
    </row>
  </sheetData>
  <mergeCells count="5">
    <mergeCell ref="A1:H1"/>
    <mergeCell ref="A7:F7"/>
    <mergeCell ref="A9:H9"/>
    <mergeCell ref="A14:F14"/>
    <mergeCell ref="F17:G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5DF5F-A2E9-4767-8B92-81A6318B6E36}">
  <dimension ref="A1:E146"/>
  <sheetViews>
    <sheetView workbookViewId="0">
      <selection activeCell="E13" sqref="E13"/>
    </sheetView>
  </sheetViews>
  <sheetFormatPr defaultRowHeight="15"/>
  <cols>
    <col min="1" max="1" width="8.7109375" customWidth="1"/>
    <col min="2" max="2" width="14.5703125" customWidth="1"/>
    <col min="3" max="3" width="59" customWidth="1"/>
    <col min="4" max="4" width="20" customWidth="1"/>
    <col min="5" max="5" width="38.5703125" customWidth="1"/>
  </cols>
  <sheetData>
    <row r="1" spans="2:5" ht="15.75" thickBot="1">
      <c r="B1" s="222" t="s">
        <v>0</v>
      </c>
      <c r="C1" s="222"/>
      <c r="D1" s="222"/>
      <c r="E1" s="222"/>
    </row>
    <row r="2" spans="2:5" ht="15.75" thickBot="1">
      <c r="B2" s="222"/>
      <c r="C2" s="222"/>
      <c r="D2" s="222"/>
      <c r="E2" s="222"/>
    </row>
    <row r="3" spans="2:5" ht="15.75" thickBot="1">
      <c r="B3" s="2"/>
      <c r="E3" s="3"/>
    </row>
    <row r="4" spans="2:5">
      <c r="B4" s="4" t="s">
        <v>1</v>
      </c>
      <c r="C4" s="223" t="s">
        <v>171</v>
      </c>
      <c r="D4" s="223"/>
      <c r="E4" s="223"/>
    </row>
    <row r="5" spans="2:5">
      <c r="B5" s="5" t="s">
        <v>2</v>
      </c>
      <c r="C5" s="224"/>
      <c r="D5" s="224"/>
      <c r="E5" s="224"/>
    </row>
    <row r="6" spans="2:5" ht="15.75" thickBot="1">
      <c r="B6" s="6" t="s">
        <v>3</v>
      </c>
      <c r="C6" s="225"/>
      <c r="D6" s="225"/>
      <c r="E6" s="225"/>
    </row>
    <row r="7" spans="2:5" ht="15.75" thickBot="1">
      <c r="B7" s="7"/>
      <c r="C7" s="7"/>
      <c r="D7" s="7"/>
      <c r="E7" s="3"/>
    </row>
    <row r="8" spans="2:5" ht="15.75" thickBot="1">
      <c r="B8" s="226" t="s">
        <v>4</v>
      </c>
      <c r="C8" s="226"/>
      <c r="D8" s="226"/>
      <c r="E8" s="226"/>
    </row>
    <row r="9" spans="2:5">
      <c r="B9" s="8" t="s">
        <v>5</v>
      </c>
      <c r="C9" s="207" t="s">
        <v>6</v>
      </c>
      <c r="D9" s="207"/>
      <c r="E9" s="9"/>
    </row>
    <row r="10" spans="2:5">
      <c r="B10" s="19" t="s">
        <v>7</v>
      </c>
      <c r="C10" s="197" t="s">
        <v>8</v>
      </c>
      <c r="D10" s="197"/>
      <c r="E10" s="21" t="s">
        <v>9</v>
      </c>
    </row>
    <row r="11" spans="2:5">
      <c r="B11" s="19" t="s">
        <v>10</v>
      </c>
      <c r="C11" s="197" t="s">
        <v>11</v>
      </c>
      <c r="D11" s="197"/>
      <c r="E11" s="179" t="s">
        <v>244</v>
      </c>
    </row>
    <row r="12" spans="2:5" ht="45">
      <c r="B12" s="19" t="s">
        <v>12</v>
      </c>
      <c r="C12" s="197" t="s">
        <v>13</v>
      </c>
      <c r="D12" s="197"/>
      <c r="E12" s="21" t="s">
        <v>252</v>
      </c>
    </row>
    <row r="13" spans="2:5" ht="15.75" thickBot="1">
      <c r="B13" s="14" t="s">
        <v>14</v>
      </c>
      <c r="C13" s="202" t="s">
        <v>15</v>
      </c>
      <c r="D13" s="202"/>
      <c r="E13" s="15">
        <v>24</v>
      </c>
    </row>
    <row r="14" spans="2:5" ht="15.75" thickBot="1">
      <c r="B14" s="7"/>
      <c r="C14" s="7"/>
      <c r="D14" s="7"/>
      <c r="E14" s="3"/>
    </row>
    <row r="15" spans="2:5" ht="15.75" thickBot="1">
      <c r="B15" s="226" t="s">
        <v>16</v>
      </c>
      <c r="C15" s="226"/>
      <c r="D15" s="226"/>
      <c r="E15" s="226"/>
    </row>
    <row r="16" spans="2:5">
      <c r="B16" s="227" t="s">
        <v>17</v>
      </c>
      <c r="C16" s="227"/>
      <c r="D16" s="16" t="s">
        <v>18</v>
      </c>
      <c r="E16" s="17" t="s">
        <v>19</v>
      </c>
    </row>
    <row r="17" spans="2:5" ht="15.75" thickBot="1">
      <c r="B17" s="228" t="str">
        <f>E22</f>
        <v xml:space="preserve">MOTORISTA CATEGORIA B </v>
      </c>
      <c r="C17" s="228"/>
      <c r="D17" s="18" t="s">
        <v>20</v>
      </c>
      <c r="E17" s="15">
        <v>1</v>
      </c>
    </row>
    <row r="18" spans="2:5" ht="15.75" thickBot="1">
      <c r="B18" s="3"/>
      <c r="E18" s="3"/>
    </row>
    <row r="19" spans="2:5" ht="15.75" thickBot="1">
      <c r="B19" s="200" t="s">
        <v>21</v>
      </c>
      <c r="C19" s="200"/>
      <c r="D19" s="200"/>
      <c r="E19" s="200"/>
    </row>
    <row r="20" spans="2:5">
      <c r="B20" s="8">
        <v>1</v>
      </c>
      <c r="C20" s="207" t="s">
        <v>22</v>
      </c>
      <c r="D20" s="207"/>
      <c r="E20" s="13" t="str">
        <f>E22</f>
        <v xml:space="preserve">MOTORISTA CATEGORIA B </v>
      </c>
    </row>
    <row r="21" spans="2:5">
      <c r="B21" s="19">
        <v>2</v>
      </c>
      <c r="C21" s="220" t="s">
        <v>23</v>
      </c>
      <c r="D21" s="220"/>
      <c r="E21" s="20">
        <v>1697.32</v>
      </c>
    </row>
    <row r="22" spans="2:5">
      <c r="B22" s="19">
        <v>3</v>
      </c>
      <c r="C22" s="197" t="s">
        <v>24</v>
      </c>
      <c r="D22" s="197"/>
      <c r="E22" s="181" t="s">
        <v>250</v>
      </c>
    </row>
    <row r="23" spans="2:5">
      <c r="B23" s="19">
        <v>4</v>
      </c>
      <c r="C23" s="197" t="s">
        <v>25</v>
      </c>
      <c r="D23" s="197"/>
      <c r="E23" s="22" t="s">
        <v>132</v>
      </c>
    </row>
    <row r="24" spans="2:5" ht="15.75" thickBot="1">
      <c r="B24" s="14">
        <v>5</v>
      </c>
      <c r="C24" s="202" t="s">
        <v>26</v>
      </c>
      <c r="D24" s="202"/>
      <c r="E24" s="15">
        <v>1</v>
      </c>
    </row>
    <row r="25" spans="2:5">
      <c r="B25" s="7"/>
      <c r="E25" s="3"/>
    </row>
    <row r="26" spans="2:5" ht="16.5" thickBot="1">
      <c r="B26" s="204" t="s">
        <v>27</v>
      </c>
      <c r="C26" s="204"/>
      <c r="D26" s="204"/>
      <c r="E26" s="204"/>
    </row>
    <row r="27" spans="2:5" ht="15.75" thickBot="1">
      <c r="B27" s="24" t="s">
        <v>28</v>
      </c>
      <c r="C27" s="212" t="s">
        <v>29</v>
      </c>
      <c r="D27" s="212"/>
      <c r="E27" s="26" t="s">
        <v>30</v>
      </c>
    </row>
    <row r="28" spans="2:5">
      <c r="B28" s="8" t="s">
        <v>5</v>
      </c>
      <c r="C28" s="221" t="s">
        <v>31</v>
      </c>
      <c r="D28" s="221"/>
      <c r="E28" s="27">
        <f>E21</f>
        <v>1697.32</v>
      </c>
    </row>
    <row r="29" spans="2:5">
      <c r="B29" s="19" t="s">
        <v>7</v>
      </c>
      <c r="C29" s="197" t="s">
        <v>32</v>
      </c>
      <c r="D29" s="197"/>
      <c r="E29" s="28"/>
    </row>
    <row r="30" spans="2:5">
      <c r="B30" s="19" t="s">
        <v>10</v>
      </c>
      <c r="C30" s="197" t="s">
        <v>33</v>
      </c>
      <c r="D30" s="197"/>
      <c r="E30" s="28"/>
    </row>
    <row r="31" spans="2:5">
      <c r="B31" s="19" t="s">
        <v>12</v>
      </c>
      <c r="C31" s="197" t="s">
        <v>34</v>
      </c>
      <c r="D31" s="197"/>
      <c r="E31" s="28"/>
    </row>
    <row r="32" spans="2:5">
      <c r="B32" s="19" t="s">
        <v>14</v>
      </c>
      <c r="C32" s="197" t="s">
        <v>35</v>
      </c>
      <c r="D32" s="197"/>
      <c r="E32" s="28"/>
    </row>
    <row r="33" spans="2:5">
      <c r="B33" s="19" t="s">
        <v>36</v>
      </c>
      <c r="C33" s="197" t="s">
        <v>37</v>
      </c>
      <c r="D33" s="197"/>
      <c r="E33" s="28"/>
    </row>
    <row r="34" spans="2:5" ht="15.75" thickBot="1">
      <c r="B34" s="10" t="s">
        <v>38</v>
      </c>
      <c r="C34" s="202" t="s">
        <v>39</v>
      </c>
      <c r="D34" s="202"/>
      <c r="E34" s="29"/>
    </row>
    <row r="35" spans="2:5" ht="15.75" thickBot="1">
      <c r="B35" s="203" t="s">
        <v>40</v>
      </c>
      <c r="C35" s="203"/>
      <c r="D35" s="203"/>
      <c r="E35" s="30">
        <f>SUM(E28:E34)</f>
        <v>1697.32</v>
      </c>
    </row>
    <row r="36" spans="2:5">
      <c r="B36" s="7"/>
      <c r="E36" s="3"/>
    </row>
    <row r="37" spans="2:5" ht="15.75">
      <c r="B37" s="204" t="s">
        <v>41</v>
      </c>
      <c r="C37" s="204"/>
      <c r="D37" s="204"/>
      <c r="E37" s="204"/>
    </row>
    <row r="38" spans="2:5" ht="16.5" thickBot="1">
      <c r="B38" s="208" t="s">
        <v>127</v>
      </c>
      <c r="C38" s="208"/>
      <c r="D38" s="208"/>
      <c r="E38" s="65">
        <f>E35</f>
        <v>1697.32</v>
      </c>
    </row>
    <row r="39" spans="2:5" ht="15.75" thickBot="1">
      <c r="B39" s="24" t="s">
        <v>42</v>
      </c>
      <c r="C39" s="25" t="s">
        <v>43</v>
      </c>
      <c r="D39" s="25" t="s">
        <v>44</v>
      </c>
      <c r="E39" s="32" t="s">
        <v>30</v>
      </c>
    </row>
    <row r="40" spans="2:5">
      <c r="B40" s="8" t="s">
        <v>5</v>
      </c>
      <c r="C40" s="33" t="s">
        <v>45</v>
      </c>
      <c r="D40" s="34">
        <f>1/12</f>
        <v>8.3333333333333329E-2</v>
      </c>
      <c r="E40" s="35">
        <f>D40*$E$38</f>
        <v>141.44333333333333</v>
      </c>
    </row>
    <row r="41" spans="2:5" ht="15.75" thickBot="1">
      <c r="B41" s="8" t="s">
        <v>7</v>
      </c>
      <c r="C41" s="33" t="s">
        <v>46</v>
      </c>
      <c r="D41" s="34">
        <v>0.121</v>
      </c>
      <c r="E41" s="35">
        <f>D41*$E$38</f>
        <v>205.37571999999997</v>
      </c>
    </row>
    <row r="42" spans="2:5" ht="15.75" thickBot="1">
      <c r="B42" s="203" t="s">
        <v>47</v>
      </c>
      <c r="C42" s="203"/>
      <c r="D42" s="36">
        <f>SUM(D40:D41)</f>
        <v>0.20433333333333331</v>
      </c>
      <c r="E42" s="37">
        <f>SUM(E40:E41)</f>
        <v>346.81905333333327</v>
      </c>
    </row>
    <row r="43" spans="2:5">
      <c r="B43" s="7"/>
      <c r="E43" s="3"/>
    </row>
    <row r="44" spans="2:5" ht="15.75">
      <c r="B44" s="204" t="s">
        <v>48</v>
      </c>
      <c r="C44" s="204"/>
      <c r="D44" s="204"/>
      <c r="E44" s="204"/>
    </row>
    <row r="45" spans="2:5" ht="16.5" thickBot="1">
      <c r="B45" s="208" t="s">
        <v>128</v>
      </c>
      <c r="C45" s="208"/>
      <c r="D45" s="208"/>
      <c r="E45" s="65">
        <f>E35+E42</f>
        <v>2044.1390533333333</v>
      </c>
    </row>
    <row r="46" spans="2:5" ht="15.75" thickBot="1">
      <c r="B46" s="24" t="s">
        <v>49</v>
      </c>
      <c r="C46" s="25" t="s">
        <v>50</v>
      </c>
      <c r="D46" s="25" t="s">
        <v>44</v>
      </c>
      <c r="E46" s="32" t="s">
        <v>30</v>
      </c>
    </row>
    <row r="47" spans="2:5">
      <c r="B47" s="8" t="s">
        <v>5</v>
      </c>
      <c r="C47" s="33" t="s">
        <v>51</v>
      </c>
      <c r="D47" s="34">
        <v>0.2</v>
      </c>
      <c r="E47" s="35">
        <f t="shared" ref="E47:E54" si="0">D47*$E$45</f>
        <v>408.82781066666666</v>
      </c>
    </row>
    <row r="48" spans="2:5">
      <c r="B48" s="8" t="s">
        <v>7</v>
      </c>
      <c r="C48" s="12" t="s">
        <v>52</v>
      </c>
      <c r="D48" s="34">
        <v>2.5000000000000001E-2</v>
      </c>
      <c r="E48" s="35">
        <f t="shared" si="0"/>
        <v>51.103476333333333</v>
      </c>
    </row>
    <row r="49" spans="2:5">
      <c r="B49" s="8" t="s">
        <v>10</v>
      </c>
      <c r="C49" s="39" t="s">
        <v>53</v>
      </c>
      <c r="D49" s="34">
        <v>0.06</v>
      </c>
      <c r="E49" s="35">
        <f t="shared" si="0"/>
        <v>122.6483432</v>
      </c>
    </row>
    <row r="50" spans="2:5">
      <c r="B50" s="19" t="s">
        <v>12</v>
      </c>
      <c r="C50" s="39" t="s">
        <v>54</v>
      </c>
      <c r="D50" s="34">
        <v>1.4999999999999999E-2</v>
      </c>
      <c r="E50" s="35">
        <f t="shared" si="0"/>
        <v>30.6620858</v>
      </c>
    </row>
    <row r="51" spans="2:5">
      <c r="B51" s="19" t="s">
        <v>14</v>
      </c>
      <c r="C51" s="39" t="s">
        <v>55</v>
      </c>
      <c r="D51" s="34">
        <v>0.01</v>
      </c>
      <c r="E51" s="35">
        <f t="shared" si="0"/>
        <v>20.441390533333333</v>
      </c>
    </row>
    <row r="52" spans="2:5">
      <c r="B52" s="19" t="s">
        <v>36</v>
      </c>
      <c r="C52" s="40" t="s">
        <v>56</v>
      </c>
      <c r="D52" s="34">
        <v>6.0000000000000001E-3</v>
      </c>
      <c r="E52" s="35">
        <f t="shared" si="0"/>
        <v>12.26483432</v>
      </c>
    </row>
    <row r="53" spans="2:5">
      <c r="B53" s="19" t="s">
        <v>38</v>
      </c>
      <c r="C53" s="39" t="s">
        <v>57</v>
      </c>
      <c r="D53" s="34">
        <v>2E-3</v>
      </c>
      <c r="E53" s="35">
        <f t="shared" si="0"/>
        <v>4.0882781066666665</v>
      </c>
    </row>
    <row r="54" spans="2:5" ht="15.75" thickBot="1">
      <c r="B54" s="19" t="s">
        <v>58</v>
      </c>
      <c r="C54" s="39" t="s">
        <v>59</v>
      </c>
      <c r="D54" s="34">
        <v>0.08</v>
      </c>
      <c r="E54" s="35">
        <f t="shared" si="0"/>
        <v>163.53112426666667</v>
      </c>
    </row>
    <row r="55" spans="2:5" ht="15.75" thickBot="1">
      <c r="B55" s="203" t="s">
        <v>47</v>
      </c>
      <c r="C55" s="203"/>
      <c r="D55" s="36">
        <f>SUM(D47:D54)</f>
        <v>0.39800000000000008</v>
      </c>
      <c r="E55" s="41">
        <f>SUM(E47:E54)</f>
        <v>813.56734322666659</v>
      </c>
    </row>
    <row r="56" spans="2:5">
      <c r="B56" s="7"/>
      <c r="E56" s="3"/>
    </row>
    <row r="57" spans="2:5" ht="16.5" thickBot="1">
      <c r="B57" s="204" t="s">
        <v>60</v>
      </c>
      <c r="C57" s="204"/>
      <c r="D57" s="204"/>
      <c r="E57" s="204"/>
    </row>
    <row r="58" spans="2:5" ht="15.75" thickBot="1">
      <c r="B58" s="24" t="s">
        <v>61</v>
      </c>
      <c r="C58" s="25" t="s">
        <v>62</v>
      </c>
      <c r="D58" s="212" t="s">
        <v>30</v>
      </c>
      <c r="E58" s="212"/>
    </row>
    <row r="59" spans="2:5">
      <c r="B59" s="8" t="s">
        <v>5</v>
      </c>
      <c r="C59" s="33" t="s">
        <v>63</v>
      </c>
      <c r="D59" s="216">
        <f>3.5*4*22-(6%*$E$28)</f>
        <v>206.16079999999999</v>
      </c>
      <c r="E59" s="216"/>
    </row>
    <row r="60" spans="2:5">
      <c r="B60" s="19" t="s">
        <v>7</v>
      </c>
      <c r="C60" s="39" t="s">
        <v>64</v>
      </c>
      <c r="D60" s="214">
        <v>252</v>
      </c>
      <c r="E60" s="214"/>
    </row>
    <row r="61" spans="2:5">
      <c r="B61" s="19" t="s">
        <v>10</v>
      </c>
      <c r="C61" s="66" t="s">
        <v>247</v>
      </c>
      <c r="D61" s="214">
        <v>18</v>
      </c>
      <c r="E61" s="214"/>
    </row>
    <row r="62" spans="2:5">
      <c r="B62" s="19" t="s">
        <v>12</v>
      </c>
      <c r="C62" s="66" t="s">
        <v>248</v>
      </c>
      <c r="D62" s="214">
        <v>48</v>
      </c>
      <c r="E62" s="214"/>
    </row>
    <row r="63" spans="2:5" ht="15.75" thickBot="1">
      <c r="B63" s="11" t="s">
        <v>14</v>
      </c>
      <c r="C63" s="39" t="s">
        <v>246</v>
      </c>
      <c r="D63" s="215">
        <f>E35*3%/12*3</f>
        <v>12.729899999999999</v>
      </c>
      <c r="E63" s="215"/>
    </row>
    <row r="64" spans="2:5" ht="15.75" thickBot="1">
      <c r="B64" s="11" t="s">
        <v>36</v>
      </c>
      <c r="C64" s="39" t="s">
        <v>130</v>
      </c>
      <c r="D64" s="216">
        <v>71.45</v>
      </c>
      <c r="E64" s="216"/>
    </row>
    <row r="65" spans="2:5" ht="15.75" thickBot="1">
      <c r="B65" s="217" t="s">
        <v>66</v>
      </c>
      <c r="C65" s="217"/>
      <c r="D65" s="218">
        <f>SUM(D59:E64)</f>
        <v>608.34070000000008</v>
      </c>
      <c r="E65" s="218"/>
    </row>
    <row r="66" spans="2:5">
      <c r="B66" s="219"/>
      <c r="C66" s="219"/>
      <c r="D66" s="219"/>
      <c r="E66" s="219"/>
    </row>
    <row r="67" spans="2:5" ht="16.5" thickBot="1">
      <c r="B67" s="208" t="s">
        <v>68</v>
      </c>
      <c r="C67" s="208"/>
      <c r="D67" s="208"/>
      <c r="E67" s="45"/>
    </row>
    <row r="68" spans="2:5" ht="15.75" thickBot="1">
      <c r="B68" s="24">
        <v>2</v>
      </c>
      <c r="C68" s="25" t="s">
        <v>69</v>
      </c>
      <c r="D68" s="25" t="s">
        <v>30</v>
      </c>
      <c r="E68" s="43"/>
    </row>
    <row r="69" spans="2:5">
      <c r="B69" s="11" t="s">
        <v>42</v>
      </c>
      <c r="C69" s="39" t="s">
        <v>43</v>
      </c>
      <c r="D69" s="46">
        <f>E42</f>
        <v>346.81905333333327</v>
      </c>
      <c r="E69" s="43"/>
    </row>
    <row r="70" spans="2:5">
      <c r="B70" s="11" t="s">
        <v>49</v>
      </c>
      <c r="C70" s="39" t="s">
        <v>70</v>
      </c>
      <c r="D70" s="46">
        <f>E55</f>
        <v>813.56734322666659</v>
      </c>
      <c r="E70" s="43"/>
    </row>
    <row r="71" spans="2:5" ht="15.75" thickBot="1">
      <c r="B71" s="11" t="s">
        <v>61</v>
      </c>
      <c r="C71" s="39" t="s">
        <v>62</v>
      </c>
      <c r="D71" s="46">
        <f>D65</f>
        <v>608.34070000000008</v>
      </c>
      <c r="E71" s="43"/>
    </row>
    <row r="72" spans="2:5" ht="15.75" thickBot="1">
      <c r="B72" s="217" t="s">
        <v>71</v>
      </c>
      <c r="C72" s="217"/>
      <c r="D72" s="41">
        <f>SUM(D69:D71)</f>
        <v>1768.7270965600001</v>
      </c>
      <c r="E72" s="43"/>
    </row>
    <row r="73" spans="2:5">
      <c r="B73" s="43"/>
      <c r="C73" s="43"/>
      <c r="D73" s="43"/>
      <c r="E73" s="43"/>
    </row>
    <row r="74" spans="2:5" ht="15.75">
      <c r="B74" s="204" t="s">
        <v>72</v>
      </c>
      <c r="C74" s="204"/>
      <c r="D74" s="204"/>
      <c r="E74" s="204"/>
    </row>
    <row r="75" spans="2:5" ht="16.5" thickBot="1">
      <c r="B75" s="208" t="s">
        <v>73</v>
      </c>
      <c r="C75" s="208"/>
      <c r="D75" s="208"/>
      <c r="E75" s="31">
        <f>E35+D72</f>
        <v>3466.0470965599998</v>
      </c>
    </row>
    <row r="76" spans="2:5" ht="15.75" thickBot="1">
      <c r="B76" s="24">
        <v>3</v>
      </c>
      <c r="C76" s="25" t="s">
        <v>74</v>
      </c>
      <c r="D76" s="25" t="s">
        <v>44</v>
      </c>
      <c r="E76" s="32" t="s">
        <v>30</v>
      </c>
    </row>
    <row r="77" spans="2:5">
      <c r="B77" s="8" t="s">
        <v>5</v>
      </c>
      <c r="C77" s="33" t="s">
        <v>75</v>
      </c>
      <c r="D77" s="47">
        <f>((1+0.121+0.0833)/12)*0.05</f>
        <v>5.0179166666666671E-3</v>
      </c>
      <c r="E77" s="35">
        <f t="shared" ref="E77:E82" si="1">D77*$E$75</f>
        <v>17.392335493280033</v>
      </c>
    </row>
    <row r="78" spans="2:5">
      <c r="B78" s="19" t="s">
        <v>7</v>
      </c>
      <c r="C78" s="39" t="s">
        <v>76</v>
      </c>
      <c r="D78" s="47">
        <f>(D77*D54)</f>
        <v>4.0143333333333335E-4</v>
      </c>
      <c r="E78" s="35">
        <f t="shared" si="1"/>
        <v>1.3913868394624027</v>
      </c>
    </row>
    <row r="79" spans="2:5" ht="30">
      <c r="B79" s="19" t="s">
        <v>10</v>
      </c>
      <c r="C79" s="39" t="s">
        <v>77</v>
      </c>
      <c r="D79" s="47">
        <f>40%*D78</f>
        <v>1.6057333333333336E-4</v>
      </c>
      <c r="E79" s="35">
        <f t="shared" si="1"/>
        <v>0.55655473578496106</v>
      </c>
    </row>
    <row r="80" spans="2:5">
      <c r="B80" s="19" t="s">
        <v>12</v>
      </c>
      <c r="C80" s="39" t="s">
        <v>78</v>
      </c>
      <c r="D80" s="47">
        <f>(7/30)/12</f>
        <v>1.9444444444444445E-2</v>
      </c>
      <c r="E80" s="35">
        <f t="shared" si="1"/>
        <v>67.395360210888882</v>
      </c>
    </row>
    <row r="81" spans="2:5">
      <c r="B81" s="19" t="s">
        <v>14</v>
      </c>
      <c r="C81" s="39" t="s">
        <v>79</v>
      </c>
      <c r="D81" s="47">
        <f>D80*D55</f>
        <v>7.7388888888888906E-3</v>
      </c>
      <c r="E81" s="35">
        <f t="shared" si="1"/>
        <v>26.823353363933784</v>
      </c>
    </row>
    <row r="82" spans="2:5" ht="15.75" thickBot="1">
      <c r="B82" s="10" t="s">
        <v>36</v>
      </c>
      <c r="C82" s="1" t="s">
        <v>80</v>
      </c>
      <c r="D82" s="47">
        <f>4/100-D91</f>
        <v>3.979166666666667E-2</v>
      </c>
      <c r="E82" s="35">
        <f t="shared" si="1"/>
        <v>137.91979071728335</v>
      </c>
    </row>
    <row r="83" spans="2:5" ht="15.75" thickBot="1">
      <c r="B83" s="203" t="s">
        <v>47</v>
      </c>
      <c r="C83" s="203"/>
      <c r="D83" s="36">
        <f>SUM(D77:D82)</f>
        <v>7.255492333333334E-2</v>
      </c>
      <c r="E83" s="37">
        <f>SUM(E77:E82)</f>
        <v>251.47878136063341</v>
      </c>
    </row>
    <row r="84" spans="2:5" ht="15.75">
      <c r="B84" s="23"/>
      <c r="C84" s="23"/>
      <c r="D84" s="23"/>
      <c r="E84" s="23"/>
    </row>
    <row r="85" spans="2:5" ht="15.75">
      <c r="B85" s="204" t="s">
        <v>81</v>
      </c>
      <c r="C85" s="204"/>
      <c r="D85" s="204"/>
      <c r="E85" s="204"/>
    </row>
    <row r="86" spans="2:5" ht="16.5" thickBot="1">
      <c r="B86" s="208" t="s">
        <v>83</v>
      </c>
      <c r="C86" s="208"/>
      <c r="D86" s="208"/>
      <c r="E86" s="208"/>
    </row>
    <row r="87" spans="2:5" ht="16.5" thickBot="1">
      <c r="B87" s="209" t="s">
        <v>82</v>
      </c>
      <c r="C87" s="209"/>
      <c r="D87" s="209"/>
      <c r="E87" s="31">
        <f>E35+D69+D70+E83</f>
        <v>3109.1851779206336</v>
      </c>
    </row>
    <row r="88" spans="2:5" ht="15.75" thickBot="1">
      <c r="B88" s="24" t="s">
        <v>84</v>
      </c>
      <c r="C88" s="25" t="s">
        <v>85</v>
      </c>
      <c r="D88" s="48" t="s">
        <v>44</v>
      </c>
      <c r="E88" s="32" t="s">
        <v>30</v>
      </c>
    </row>
    <row r="89" spans="2:5">
      <c r="B89" s="8" t="s">
        <v>5</v>
      </c>
      <c r="C89" s="49" t="s">
        <v>86</v>
      </c>
      <c r="D89" s="50">
        <v>0</v>
      </c>
      <c r="E89" s="51">
        <f t="shared" ref="E89:E94" si="2">D89*$E$87</f>
        <v>0</v>
      </c>
    </row>
    <row r="90" spans="2:5">
      <c r="B90" s="19" t="s">
        <v>7</v>
      </c>
      <c r="C90" s="49" t="s">
        <v>87</v>
      </c>
      <c r="D90" s="50">
        <f>(5/30)/12</f>
        <v>1.3888888888888888E-2</v>
      </c>
      <c r="E90" s="51">
        <f t="shared" si="2"/>
        <v>43.18312747111991</v>
      </c>
    </row>
    <row r="91" spans="2:5">
      <c r="B91" s="19" t="s">
        <v>10</v>
      </c>
      <c r="C91" s="49" t="s">
        <v>88</v>
      </c>
      <c r="D91" s="50">
        <f>((5/30)/12)*0.015</f>
        <v>2.0833333333333332E-4</v>
      </c>
      <c r="E91" s="51">
        <f t="shared" si="2"/>
        <v>0.64774691206679857</v>
      </c>
    </row>
    <row r="92" spans="2:5">
      <c r="B92" s="19" t="s">
        <v>12</v>
      </c>
      <c r="C92" s="49" t="s">
        <v>89</v>
      </c>
      <c r="D92" s="50">
        <f>(0.91/30)/12</f>
        <v>2.5277777777777777E-3</v>
      </c>
      <c r="E92" s="51">
        <f t="shared" si="2"/>
        <v>7.859329199743823</v>
      </c>
    </row>
    <row r="93" spans="2:5">
      <c r="B93" s="19" t="s">
        <v>14</v>
      </c>
      <c r="C93" s="49" t="s">
        <v>90</v>
      </c>
      <c r="D93" s="50">
        <f>(0.121*4/12*0.04)/12</f>
        <v>1.3444444444444444E-4</v>
      </c>
      <c r="E93" s="51">
        <f t="shared" si="2"/>
        <v>0.41801267392044072</v>
      </c>
    </row>
    <row r="94" spans="2:5" ht="15.75" thickBot="1">
      <c r="B94" s="19" t="s">
        <v>36</v>
      </c>
      <c r="C94" s="49" t="s">
        <v>91</v>
      </c>
      <c r="D94" s="52">
        <f>(5.96/30)/12</f>
        <v>1.6555555555555556E-2</v>
      </c>
      <c r="E94" s="51">
        <f t="shared" si="2"/>
        <v>51.474287945574936</v>
      </c>
    </row>
    <row r="95" spans="2:5" ht="15.75" thickBot="1">
      <c r="B95" s="203" t="s">
        <v>47</v>
      </c>
      <c r="C95" s="203"/>
      <c r="D95" s="53">
        <f>SUM(D89:D94)</f>
        <v>3.3314999999999997E-2</v>
      </c>
      <c r="E95" s="37">
        <f>SUM(E89:E94)</f>
        <v>103.58250420242592</v>
      </c>
    </row>
    <row r="97" spans="2:5" ht="16.5" thickBot="1">
      <c r="B97" s="210" t="s">
        <v>92</v>
      </c>
      <c r="C97" s="210"/>
      <c r="D97" s="210"/>
      <c r="E97" s="210"/>
    </row>
    <row r="98" spans="2:5" ht="15.75" thickBot="1">
      <c r="B98" s="24" t="s">
        <v>93</v>
      </c>
      <c r="C98" s="25" t="s">
        <v>67</v>
      </c>
      <c r="D98" s="32" t="s">
        <v>30</v>
      </c>
    </row>
    <row r="99" spans="2:5" ht="15.75" thickBot="1">
      <c r="B99" s="8" t="s">
        <v>5</v>
      </c>
      <c r="C99" s="33" t="s">
        <v>94</v>
      </c>
      <c r="D99" s="44"/>
    </row>
    <row r="100" spans="2:5" ht="15.75" thickBot="1">
      <c r="B100" s="203" t="s">
        <v>47</v>
      </c>
      <c r="C100" s="203"/>
      <c r="D100" s="54"/>
    </row>
    <row r="102" spans="2:5" ht="15.75" thickBot="1">
      <c r="B102" s="211" t="s">
        <v>95</v>
      </c>
      <c r="C102" s="211"/>
      <c r="D102" s="211"/>
    </row>
    <row r="103" spans="2:5" ht="15.75" thickBot="1">
      <c r="B103" s="24">
        <v>4</v>
      </c>
      <c r="C103" s="25" t="s">
        <v>96</v>
      </c>
      <c r="D103" s="32" t="s">
        <v>30</v>
      </c>
    </row>
    <row r="104" spans="2:5">
      <c r="B104" s="19" t="s">
        <v>84</v>
      </c>
      <c r="C104" s="33" t="s">
        <v>85</v>
      </c>
      <c r="D104" s="44">
        <f>E95</f>
        <v>103.58250420242592</v>
      </c>
    </row>
    <row r="105" spans="2:5" ht="15.75" thickBot="1">
      <c r="B105" s="19" t="s">
        <v>93</v>
      </c>
      <c r="C105" s="33" t="s">
        <v>67</v>
      </c>
      <c r="D105" s="44">
        <f>D99</f>
        <v>0</v>
      </c>
    </row>
    <row r="106" spans="2:5" ht="15.75" thickBot="1">
      <c r="B106" s="203" t="s">
        <v>47</v>
      </c>
      <c r="C106" s="203"/>
      <c r="D106" s="55">
        <f>SUM(D104:D105)</f>
        <v>103.58250420242592</v>
      </c>
    </row>
    <row r="107" spans="2:5">
      <c r="B107" s="7"/>
      <c r="E107" s="3"/>
    </row>
    <row r="108" spans="2:5" ht="16.5" thickBot="1">
      <c r="B108" s="204" t="s">
        <v>97</v>
      </c>
      <c r="C108" s="204"/>
      <c r="D108" s="204"/>
      <c r="E108" s="204"/>
    </row>
    <row r="109" spans="2:5" ht="15.75" thickBot="1">
      <c r="B109" s="24">
        <v>5</v>
      </c>
      <c r="C109" s="212" t="s">
        <v>98</v>
      </c>
      <c r="D109" s="212"/>
      <c r="E109" s="26" t="s">
        <v>30</v>
      </c>
    </row>
    <row r="110" spans="2:5">
      <c r="B110" s="8" t="s">
        <v>5</v>
      </c>
      <c r="C110" s="213" t="s">
        <v>135</v>
      </c>
      <c r="D110" s="207"/>
      <c r="E110" s="27">
        <f>UNIFORMES!G11</f>
        <v>79.105000000000004</v>
      </c>
    </row>
    <row r="111" spans="2:5">
      <c r="B111" s="19" t="s">
        <v>7</v>
      </c>
      <c r="C111" s="197" t="s">
        <v>99</v>
      </c>
      <c r="D111" s="197"/>
      <c r="E111" s="28"/>
    </row>
    <row r="112" spans="2:5">
      <c r="B112" s="19" t="s">
        <v>10</v>
      </c>
      <c r="C112" s="197" t="s">
        <v>100</v>
      </c>
      <c r="D112" s="197"/>
      <c r="E112" s="28"/>
    </row>
    <row r="113" spans="2:5">
      <c r="B113" s="19" t="s">
        <v>12</v>
      </c>
      <c r="C113" s="201" t="s">
        <v>136</v>
      </c>
      <c r="D113" s="197"/>
      <c r="E113" s="28"/>
    </row>
    <row r="114" spans="2:5" ht="15.75" thickBot="1">
      <c r="B114" s="10" t="s">
        <v>14</v>
      </c>
      <c r="C114" s="202"/>
      <c r="D114" s="202"/>
      <c r="E114" s="29"/>
    </row>
    <row r="115" spans="2:5" ht="15.75" thickBot="1">
      <c r="B115" s="203" t="s">
        <v>101</v>
      </c>
      <c r="C115" s="203"/>
      <c r="D115" s="203"/>
      <c r="E115" s="30">
        <f>SUM(E110:E114)</f>
        <v>79.105000000000004</v>
      </c>
    </row>
    <row r="117" spans="2:5" ht="15.75">
      <c r="B117" s="204" t="s">
        <v>102</v>
      </c>
      <c r="C117" s="204"/>
      <c r="D117" s="204"/>
      <c r="E117" s="204"/>
    </row>
    <row r="118" spans="2:5" ht="16.5" thickBot="1">
      <c r="B118" s="205" t="s">
        <v>103</v>
      </c>
      <c r="C118" s="205"/>
      <c r="D118" s="205"/>
      <c r="E118" s="31">
        <f>E137</f>
        <v>3900.2133821230591</v>
      </c>
    </row>
    <row r="119" spans="2:5" ht="16.5" thickBot="1">
      <c r="B119" s="205" t="s">
        <v>104</v>
      </c>
      <c r="C119" s="205"/>
      <c r="D119" s="205"/>
      <c r="E119" s="31">
        <f>E118+E121</f>
        <v>4095.2240512292119</v>
      </c>
    </row>
    <row r="120" spans="2:5">
      <c r="B120" s="56">
        <v>5</v>
      </c>
      <c r="C120" s="56" t="s">
        <v>105</v>
      </c>
      <c r="D120" s="56" t="s">
        <v>44</v>
      </c>
      <c r="E120" s="56" t="s">
        <v>30</v>
      </c>
    </row>
    <row r="121" spans="2:5">
      <c r="B121" s="11" t="s">
        <v>5</v>
      </c>
      <c r="C121" s="57" t="s">
        <v>106</v>
      </c>
      <c r="D121" s="50">
        <v>0.05</v>
      </c>
      <c r="E121" s="42">
        <f>D121*$E$118</f>
        <v>195.01066910615296</v>
      </c>
    </row>
    <row r="122" spans="2:5">
      <c r="B122" s="11" t="s">
        <v>7</v>
      </c>
      <c r="C122" s="57" t="s">
        <v>107</v>
      </c>
      <c r="D122" s="50">
        <v>0.1</v>
      </c>
      <c r="E122" s="42">
        <f>D122*$E$119</f>
        <v>409.52240512292121</v>
      </c>
    </row>
    <row r="123" spans="2:5">
      <c r="B123" s="11" t="s">
        <v>10</v>
      </c>
      <c r="C123" s="39" t="s">
        <v>129</v>
      </c>
      <c r="D123" s="58">
        <f>SUM(D124:D127)</f>
        <v>8.6499999999999994E-2</v>
      </c>
      <c r="E123" s="42"/>
    </row>
    <row r="124" spans="2:5">
      <c r="B124" s="11" t="s">
        <v>108</v>
      </c>
      <c r="C124" s="39" t="s">
        <v>109</v>
      </c>
      <c r="D124" s="59">
        <v>0</v>
      </c>
      <c r="E124" s="42"/>
    </row>
    <row r="125" spans="2:5">
      <c r="B125" s="11" t="s">
        <v>110</v>
      </c>
      <c r="C125" s="39" t="s">
        <v>111</v>
      </c>
      <c r="D125" s="59">
        <v>6.4999999999999997E-3</v>
      </c>
      <c r="E125" s="42">
        <f>(E137+E121+E122)/(1-D123)*D125</f>
        <v>32.053477795609048</v>
      </c>
    </row>
    <row r="126" spans="2:5">
      <c r="B126" s="11" t="s">
        <v>112</v>
      </c>
      <c r="C126" s="39" t="s">
        <v>113</v>
      </c>
      <c r="D126" s="59">
        <v>0.03</v>
      </c>
      <c r="E126" s="42">
        <f>(E137+E121+E122)/(1-D123)*D126</f>
        <v>147.93912828742637</v>
      </c>
    </row>
    <row r="127" spans="2:5">
      <c r="B127" s="11" t="s">
        <v>114</v>
      </c>
      <c r="C127" s="12" t="s">
        <v>115</v>
      </c>
      <c r="D127" s="59">
        <v>0.05</v>
      </c>
      <c r="E127" s="42">
        <f>(E137+E121+E122)/(1-D123)*D127</f>
        <v>246.56521381237732</v>
      </c>
    </row>
    <row r="128" spans="2:5">
      <c r="B128" s="206" t="s">
        <v>47</v>
      </c>
      <c r="C128" s="206"/>
      <c r="D128" s="206"/>
      <c r="E128" s="60">
        <f>SUM(E121:E127)</f>
        <v>1031.0908941244868</v>
      </c>
    </row>
    <row r="129" spans="1:5">
      <c r="B129" s="7"/>
      <c r="E129" s="3"/>
    </row>
    <row r="130" spans="1:5" ht="16.5" thickBot="1">
      <c r="B130" s="204" t="s">
        <v>116</v>
      </c>
      <c r="C130" s="204"/>
      <c r="D130" s="204"/>
      <c r="E130" s="204"/>
    </row>
    <row r="131" spans="1:5" ht="15.75" thickBot="1">
      <c r="B131" s="203" t="s">
        <v>117</v>
      </c>
      <c r="C131" s="203"/>
      <c r="D131" s="203"/>
      <c r="E131" s="32" t="s">
        <v>118</v>
      </c>
    </row>
    <row r="132" spans="1:5">
      <c r="B132" s="8" t="s">
        <v>5</v>
      </c>
      <c r="C132" s="207" t="s">
        <v>119</v>
      </c>
      <c r="D132" s="207"/>
      <c r="E132" s="27">
        <f>E35</f>
        <v>1697.32</v>
      </c>
    </row>
    <row r="133" spans="1:5">
      <c r="B133" s="19" t="s">
        <v>7</v>
      </c>
      <c r="C133" s="197" t="s">
        <v>120</v>
      </c>
      <c r="D133" s="197"/>
      <c r="E133" s="28">
        <f>D72</f>
        <v>1768.7270965600001</v>
      </c>
    </row>
    <row r="134" spans="1:5">
      <c r="B134" s="19" t="s">
        <v>10</v>
      </c>
      <c r="C134" s="197" t="s">
        <v>121</v>
      </c>
      <c r="D134" s="197"/>
      <c r="E134" s="28">
        <f>E83</f>
        <v>251.47878136063341</v>
      </c>
    </row>
    <row r="135" spans="1:5">
      <c r="B135" s="19" t="s">
        <v>12</v>
      </c>
      <c r="C135" s="61" t="s">
        <v>122</v>
      </c>
      <c r="D135" s="62"/>
      <c r="E135" s="28">
        <f>D106</f>
        <v>103.58250420242592</v>
      </c>
    </row>
    <row r="136" spans="1:5">
      <c r="B136" s="19" t="s">
        <v>14</v>
      </c>
      <c r="C136" s="197" t="s">
        <v>123</v>
      </c>
      <c r="D136" s="197"/>
      <c r="E136" s="28">
        <f>E115</f>
        <v>79.105000000000004</v>
      </c>
    </row>
    <row r="137" spans="1:5">
      <c r="B137" s="198" t="s">
        <v>124</v>
      </c>
      <c r="C137" s="198"/>
      <c r="D137" s="198"/>
      <c r="E137" s="28">
        <f>SUM(E132:E136)</f>
        <v>3900.2133821230591</v>
      </c>
    </row>
    <row r="138" spans="1:5" ht="15.75" thickBot="1">
      <c r="B138" s="10" t="s">
        <v>36</v>
      </c>
      <c r="C138" s="199" t="s">
        <v>125</v>
      </c>
      <c r="D138" s="199"/>
      <c r="E138" s="63">
        <f>E128</f>
        <v>1031.0908941244868</v>
      </c>
    </row>
    <row r="139" spans="1:5" ht="15.75" thickBot="1">
      <c r="B139" s="200" t="s">
        <v>126</v>
      </c>
      <c r="C139" s="200"/>
      <c r="D139" s="200"/>
      <c r="E139" s="64">
        <f>SUM(E137:E138)</f>
        <v>4931.3042762475461</v>
      </c>
    </row>
    <row r="141" spans="1:5">
      <c r="B141" s="194"/>
      <c r="C141" s="194"/>
      <c r="D141" s="194"/>
      <c r="E141" s="194"/>
    </row>
    <row r="142" spans="1:5">
      <c r="B142" s="194"/>
      <c r="C142" s="194"/>
      <c r="D142" s="194"/>
      <c r="E142" s="194"/>
    </row>
    <row r="143" spans="1:5">
      <c r="A143" s="67" t="s">
        <v>137</v>
      </c>
    </row>
    <row r="144" spans="1:5" ht="89.25" customHeight="1">
      <c r="B144" s="195" t="s">
        <v>138</v>
      </c>
      <c r="C144" s="196"/>
      <c r="D144" s="196"/>
      <c r="E144" s="196"/>
    </row>
    <row r="145" spans="2:5">
      <c r="B145" s="195"/>
      <c r="C145" s="195"/>
      <c r="D145" s="195"/>
      <c r="E145" s="195"/>
    </row>
    <row r="146" spans="2:5" ht="29.25" customHeight="1"/>
  </sheetData>
  <mergeCells count="84">
    <mergeCell ref="B1:E2"/>
    <mergeCell ref="C4:E4"/>
    <mergeCell ref="C5:E5"/>
    <mergeCell ref="C20:D20"/>
    <mergeCell ref="C6:E6"/>
    <mergeCell ref="B8:E8"/>
    <mergeCell ref="C9:D9"/>
    <mergeCell ref="C10:D10"/>
    <mergeCell ref="C11:D11"/>
    <mergeCell ref="C12:D12"/>
    <mergeCell ref="C13:D13"/>
    <mergeCell ref="B15:E15"/>
    <mergeCell ref="B16:C16"/>
    <mergeCell ref="B17:C17"/>
    <mergeCell ref="B19:E19"/>
    <mergeCell ref="C33:D33"/>
    <mergeCell ref="C21:D21"/>
    <mergeCell ref="C22:D22"/>
    <mergeCell ref="C23:D23"/>
    <mergeCell ref="C24:D24"/>
    <mergeCell ref="B26:E26"/>
    <mergeCell ref="C27:D27"/>
    <mergeCell ref="C28:D28"/>
    <mergeCell ref="C29:D29"/>
    <mergeCell ref="C30:D30"/>
    <mergeCell ref="C31:D31"/>
    <mergeCell ref="C32:D32"/>
    <mergeCell ref="D60:E60"/>
    <mergeCell ref="C34:D34"/>
    <mergeCell ref="B35:D35"/>
    <mergeCell ref="B37:E37"/>
    <mergeCell ref="B38:D38"/>
    <mergeCell ref="B42:C42"/>
    <mergeCell ref="B44:E44"/>
    <mergeCell ref="B45:D45"/>
    <mergeCell ref="B55:C55"/>
    <mergeCell ref="B57:E57"/>
    <mergeCell ref="D58:E58"/>
    <mergeCell ref="D59:E59"/>
    <mergeCell ref="B83:C83"/>
    <mergeCell ref="D61:E61"/>
    <mergeCell ref="D62:E62"/>
    <mergeCell ref="D63:E63"/>
    <mergeCell ref="D64:E64"/>
    <mergeCell ref="B65:C65"/>
    <mergeCell ref="D65:E65"/>
    <mergeCell ref="B66:E66"/>
    <mergeCell ref="B67:D67"/>
    <mergeCell ref="B72:C72"/>
    <mergeCell ref="B74:E74"/>
    <mergeCell ref="B75:D75"/>
    <mergeCell ref="C111:D111"/>
    <mergeCell ref="B85:E85"/>
    <mergeCell ref="B86:E86"/>
    <mergeCell ref="B87:D87"/>
    <mergeCell ref="B95:C95"/>
    <mergeCell ref="B97:E97"/>
    <mergeCell ref="B100:C100"/>
    <mergeCell ref="B102:D102"/>
    <mergeCell ref="B106:C106"/>
    <mergeCell ref="B108:E108"/>
    <mergeCell ref="C109:D109"/>
    <mergeCell ref="C110:D110"/>
    <mergeCell ref="C133:D133"/>
    <mergeCell ref="C112:D112"/>
    <mergeCell ref="C113:D113"/>
    <mergeCell ref="C114:D114"/>
    <mergeCell ref="B115:D115"/>
    <mergeCell ref="B117:E117"/>
    <mergeCell ref="B118:D118"/>
    <mergeCell ref="B119:D119"/>
    <mergeCell ref="B128:D128"/>
    <mergeCell ref="B130:E130"/>
    <mergeCell ref="B131:D131"/>
    <mergeCell ref="C132:D132"/>
    <mergeCell ref="B142:E142"/>
    <mergeCell ref="B144:E144"/>
    <mergeCell ref="B145:E145"/>
    <mergeCell ref="C134:D134"/>
    <mergeCell ref="C136:D136"/>
    <mergeCell ref="B137:D137"/>
    <mergeCell ref="C138:D138"/>
    <mergeCell ref="B139:D139"/>
    <mergeCell ref="B141:E14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000"/>
  <sheetViews>
    <sheetView topLeftCell="A2" zoomScaleNormal="100" workbookViewId="0">
      <selection activeCell="E13" sqref="E13"/>
    </sheetView>
  </sheetViews>
  <sheetFormatPr defaultColWidth="14.42578125" defaultRowHeight="15"/>
  <cols>
    <col min="1" max="1" width="8.7109375" customWidth="1"/>
    <col min="2" max="2" width="14.5703125" customWidth="1"/>
    <col min="3" max="3" width="59" customWidth="1"/>
    <col min="4" max="4" width="20" customWidth="1"/>
    <col min="5" max="5" width="38.5703125" customWidth="1"/>
    <col min="6" max="26" width="8.7109375" customWidth="1"/>
  </cols>
  <sheetData>
    <row r="1" spans="2:5" ht="15" customHeight="1">
      <c r="B1" s="222" t="s">
        <v>0</v>
      </c>
      <c r="C1" s="222"/>
      <c r="D1" s="222"/>
      <c r="E1" s="222"/>
    </row>
    <row r="2" spans="2:5">
      <c r="B2" s="222"/>
      <c r="C2" s="222"/>
      <c r="D2" s="222"/>
      <c r="E2" s="222"/>
    </row>
    <row r="3" spans="2:5">
      <c r="B3" s="2"/>
      <c r="E3" s="3"/>
    </row>
    <row r="4" spans="2:5" ht="15" customHeight="1">
      <c r="B4" s="4" t="s">
        <v>1</v>
      </c>
      <c r="C4" s="223" t="s">
        <v>171</v>
      </c>
      <c r="D4" s="223"/>
      <c r="E4" s="223"/>
    </row>
    <row r="5" spans="2:5">
      <c r="B5" s="5" t="s">
        <v>2</v>
      </c>
      <c r="C5" s="224"/>
      <c r="D5" s="224"/>
      <c r="E5" s="224"/>
    </row>
    <row r="6" spans="2:5">
      <c r="B6" s="6" t="s">
        <v>3</v>
      </c>
      <c r="C6" s="225"/>
      <c r="D6" s="225"/>
      <c r="E6" s="225"/>
    </row>
    <row r="7" spans="2:5">
      <c r="B7" s="7"/>
      <c r="C7" s="7"/>
      <c r="D7" s="7"/>
      <c r="E7" s="3"/>
    </row>
    <row r="8" spans="2:5">
      <c r="B8" s="226" t="s">
        <v>4</v>
      </c>
      <c r="C8" s="226"/>
      <c r="D8" s="226"/>
      <c r="E8" s="226"/>
    </row>
    <row r="9" spans="2:5" ht="15" customHeight="1">
      <c r="B9" s="8" t="s">
        <v>5</v>
      </c>
      <c r="C9" s="207" t="s">
        <v>6</v>
      </c>
      <c r="D9" s="207"/>
      <c r="E9" s="9"/>
    </row>
    <row r="10" spans="2:5" ht="15" customHeight="1">
      <c r="B10" s="19" t="s">
        <v>7</v>
      </c>
      <c r="C10" s="197" t="s">
        <v>8</v>
      </c>
      <c r="D10" s="197"/>
      <c r="E10" s="21" t="s">
        <v>9</v>
      </c>
    </row>
    <row r="11" spans="2:5" ht="54">
      <c r="B11" s="19" t="s">
        <v>10</v>
      </c>
      <c r="C11" s="197" t="s">
        <v>11</v>
      </c>
      <c r="D11" s="197"/>
      <c r="E11" s="179" t="s">
        <v>252</v>
      </c>
    </row>
    <row r="12" spans="2:5" ht="15" customHeight="1">
      <c r="B12" s="19" t="s">
        <v>12</v>
      </c>
      <c r="C12" s="197" t="s">
        <v>13</v>
      </c>
      <c r="D12" s="197"/>
      <c r="E12" s="21" t="s">
        <v>131</v>
      </c>
    </row>
    <row r="13" spans="2:5" ht="15" customHeight="1">
      <c r="B13" s="14" t="s">
        <v>14</v>
      </c>
      <c r="C13" s="202" t="s">
        <v>15</v>
      </c>
      <c r="D13" s="202"/>
      <c r="E13" s="15">
        <v>24</v>
      </c>
    </row>
    <row r="14" spans="2:5">
      <c r="B14" s="7"/>
      <c r="C14" s="7"/>
      <c r="D14" s="7"/>
      <c r="E14" s="3"/>
    </row>
    <row r="15" spans="2:5">
      <c r="B15" s="226" t="s">
        <v>16</v>
      </c>
      <c r="C15" s="226"/>
      <c r="D15" s="226"/>
      <c r="E15" s="226"/>
    </row>
    <row r="16" spans="2:5" ht="15" customHeight="1">
      <c r="B16" s="227" t="s">
        <v>17</v>
      </c>
      <c r="C16" s="227"/>
      <c r="D16" s="16" t="s">
        <v>18</v>
      </c>
      <c r="E16" s="17" t="s">
        <v>19</v>
      </c>
    </row>
    <row r="17" spans="2:5" ht="15" customHeight="1">
      <c r="B17" s="228" t="str">
        <f>E22</f>
        <v xml:space="preserve">MOTORISTA CATEGORIA D </v>
      </c>
      <c r="C17" s="228"/>
      <c r="D17" s="18" t="s">
        <v>20</v>
      </c>
      <c r="E17" s="15">
        <v>5</v>
      </c>
    </row>
    <row r="18" spans="2:5">
      <c r="B18" s="3"/>
      <c r="E18" s="3"/>
    </row>
    <row r="19" spans="2:5" ht="15" customHeight="1">
      <c r="B19" s="200" t="s">
        <v>21</v>
      </c>
      <c r="C19" s="200"/>
      <c r="D19" s="200"/>
      <c r="E19" s="200"/>
    </row>
    <row r="20" spans="2:5" ht="15" customHeight="1">
      <c r="B20" s="8">
        <v>1</v>
      </c>
      <c r="C20" s="207" t="s">
        <v>22</v>
      </c>
      <c r="D20" s="207"/>
      <c r="E20" s="13" t="str">
        <f>E22</f>
        <v xml:space="preserve">MOTORISTA CATEGORIA D </v>
      </c>
    </row>
    <row r="21" spans="2:5" ht="15.75" customHeight="1">
      <c r="B21" s="19">
        <v>2</v>
      </c>
      <c r="C21" s="220" t="s">
        <v>23</v>
      </c>
      <c r="D21" s="220"/>
      <c r="E21" s="20">
        <v>2121.29</v>
      </c>
    </row>
    <row r="22" spans="2:5" ht="15.75" customHeight="1">
      <c r="B22" s="19">
        <v>3</v>
      </c>
      <c r="C22" s="197" t="s">
        <v>24</v>
      </c>
      <c r="D22" s="197"/>
      <c r="E22" s="181" t="s">
        <v>249</v>
      </c>
    </row>
    <row r="23" spans="2:5" ht="15.75" customHeight="1">
      <c r="B23" s="19">
        <v>4</v>
      </c>
      <c r="C23" s="197" t="s">
        <v>25</v>
      </c>
      <c r="D23" s="197"/>
      <c r="E23" s="22" t="s">
        <v>132</v>
      </c>
    </row>
    <row r="24" spans="2:5" ht="15.75" customHeight="1">
      <c r="B24" s="14">
        <v>5</v>
      </c>
      <c r="C24" s="202" t="s">
        <v>26</v>
      </c>
      <c r="D24" s="202"/>
      <c r="E24" s="15">
        <v>5</v>
      </c>
    </row>
    <row r="25" spans="2:5" ht="15.75" customHeight="1">
      <c r="B25" s="7"/>
      <c r="E25" s="3"/>
    </row>
    <row r="26" spans="2:5" ht="15.75" customHeight="1">
      <c r="B26" s="204" t="s">
        <v>27</v>
      </c>
      <c r="C26" s="204"/>
      <c r="D26" s="204"/>
      <c r="E26" s="204"/>
    </row>
    <row r="27" spans="2:5" ht="15.75" customHeight="1">
      <c r="B27" s="24" t="s">
        <v>28</v>
      </c>
      <c r="C27" s="212" t="s">
        <v>29</v>
      </c>
      <c r="D27" s="212"/>
      <c r="E27" s="26" t="s">
        <v>30</v>
      </c>
    </row>
    <row r="28" spans="2:5" ht="15.75" customHeight="1">
      <c r="B28" s="8" t="s">
        <v>5</v>
      </c>
      <c r="C28" s="221" t="s">
        <v>31</v>
      </c>
      <c r="D28" s="221"/>
      <c r="E28" s="27">
        <f>E21</f>
        <v>2121.29</v>
      </c>
    </row>
    <row r="29" spans="2:5" ht="15.75" customHeight="1">
      <c r="B29" s="19" t="s">
        <v>7</v>
      </c>
      <c r="C29" s="197" t="s">
        <v>32</v>
      </c>
      <c r="D29" s="197"/>
      <c r="E29" s="28"/>
    </row>
    <row r="30" spans="2:5" ht="15.75" customHeight="1">
      <c r="B30" s="19" t="s">
        <v>10</v>
      </c>
      <c r="C30" s="197" t="s">
        <v>33</v>
      </c>
      <c r="D30" s="197"/>
      <c r="E30" s="28"/>
    </row>
    <row r="31" spans="2:5" ht="15.75" customHeight="1">
      <c r="B31" s="19" t="s">
        <v>12</v>
      </c>
      <c r="C31" s="197" t="s">
        <v>34</v>
      </c>
      <c r="D31" s="197"/>
      <c r="E31" s="28"/>
    </row>
    <row r="32" spans="2:5" ht="15.75" customHeight="1">
      <c r="B32" s="19" t="s">
        <v>14</v>
      </c>
      <c r="C32" s="197" t="s">
        <v>35</v>
      </c>
      <c r="D32" s="197"/>
      <c r="E32" s="28"/>
    </row>
    <row r="33" spans="2:5" ht="15.75" customHeight="1">
      <c r="B33" s="19" t="s">
        <v>36</v>
      </c>
      <c r="C33" s="197" t="s">
        <v>37</v>
      </c>
      <c r="D33" s="197"/>
      <c r="E33" s="28"/>
    </row>
    <row r="34" spans="2:5" ht="15.75" customHeight="1">
      <c r="B34" s="10" t="s">
        <v>38</v>
      </c>
      <c r="C34" s="202" t="s">
        <v>39</v>
      </c>
      <c r="D34" s="202"/>
      <c r="E34" s="29"/>
    </row>
    <row r="35" spans="2:5" ht="15.75" customHeight="1">
      <c r="B35" s="203" t="s">
        <v>40</v>
      </c>
      <c r="C35" s="203"/>
      <c r="D35" s="203"/>
      <c r="E35" s="30">
        <f>SUM(E28:E34)</f>
        <v>2121.29</v>
      </c>
    </row>
    <row r="36" spans="2:5" ht="15.75" customHeight="1">
      <c r="B36" s="7"/>
      <c r="E36" s="3"/>
    </row>
    <row r="37" spans="2:5" ht="15.75" customHeight="1">
      <c r="B37" s="204" t="s">
        <v>41</v>
      </c>
      <c r="C37" s="204"/>
      <c r="D37" s="204"/>
      <c r="E37" s="204"/>
    </row>
    <row r="38" spans="2:5" ht="15.75" customHeight="1">
      <c r="B38" s="208" t="s">
        <v>127</v>
      </c>
      <c r="C38" s="208"/>
      <c r="D38" s="208"/>
      <c r="E38" s="65">
        <f>E35</f>
        <v>2121.29</v>
      </c>
    </row>
    <row r="39" spans="2:5" ht="15.75" customHeight="1">
      <c r="B39" s="24" t="s">
        <v>42</v>
      </c>
      <c r="C39" s="25" t="s">
        <v>43</v>
      </c>
      <c r="D39" s="25" t="s">
        <v>44</v>
      </c>
      <c r="E39" s="32" t="s">
        <v>30</v>
      </c>
    </row>
    <row r="40" spans="2:5" ht="15.75" customHeight="1">
      <c r="B40" s="8" t="s">
        <v>5</v>
      </c>
      <c r="C40" s="33" t="s">
        <v>45</v>
      </c>
      <c r="D40" s="34">
        <f>1/12</f>
        <v>8.3333333333333329E-2</v>
      </c>
      <c r="E40" s="35">
        <f>D40*$E$38</f>
        <v>176.77416666666664</v>
      </c>
    </row>
    <row r="41" spans="2:5" ht="15.75" customHeight="1">
      <c r="B41" s="8" t="s">
        <v>7</v>
      </c>
      <c r="C41" s="33" t="s">
        <v>46</v>
      </c>
      <c r="D41" s="34">
        <v>0.121</v>
      </c>
      <c r="E41" s="35">
        <f>D41*$E$38</f>
        <v>256.67608999999999</v>
      </c>
    </row>
    <row r="42" spans="2:5" ht="15.75" customHeight="1">
      <c r="B42" s="203" t="s">
        <v>47</v>
      </c>
      <c r="C42" s="203"/>
      <c r="D42" s="36">
        <f>SUM(D40:D41)</f>
        <v>0.20433333333333331</v>
      </c>
      <c r="E42" s="37">
        <f>SUM(E40:E41)</f>
        <v>433.45025666666663</v>
      </c>
    </row>
    <row r="43" spans="2:5" ht="15.75" customHeight="1">
      <c r="B43" s="7"/>
      <c r="E43" s="3"/>
    </row>
    <row r="44" spans="2:5" ht="15.75" customHeight="1">
      <c r="B44" s="204" t="s">
        <v>48</v>
      </c>
      <c r="C44" s="204"/>
      <c r="D44" s="204"/>
      <c r="E44" s="204"/>
    </row>
    <row r="45" spans="2:5" ht="15.75" customHeight="1">
      <c r="B45" s="208" t="s">
        <v>128</v>
      </c>
      <c r="C45" s="208"/>
      <c r="D45" s="208"/>
      <c r="E45" s="65">
        <f>E35+E42</f>
        <v>2554.7402566666665</v>
      </c>
    </row>
    <row r="46" spans="2:5" ht="15.75" customHeight="1">
      <c r="B46" s="24" t="s">
        <v>49</v>
      </c>
      <c r="C46" s="25" t="s">
        <v>50</v>
      </c>
      <c r="D46" s="25" t="s">
        <v>44</v>
      </c>
      <c r="E46" s="32" t="s">
        <v>30</v>
      </c>
    </row>
    <row r="47" spans="2:5" ht="15.75" customHeight="1">
      <c r="B47" s="8" t="s">
        <v>5</v>
      </c>
      <c r="C47" s="33" t="s">
        <v>51</v>
      </c>
      <c r="D47" s="34">
        <v>0.2</v>
      </c>
      <c r="E47" s="35">
        <f t="shared" ref="E47:E54" si="0">D47*$E$45</f>
        <v>510.9480513333333</v>
      </c>
    </row>
    <row r="48" spans="2:5" ht="15.75" customHeight="1">
      <c r="B48" s="8" t="s">
        <v>7</v>
      </c>
      <c r="C48" s="12" t="s">
        <v>52</v>
      </c>
      <c r="D48" s="34">
        <v>2.5000000000000001E-2</v>
      </c>
      <c r="E48" s="35">
        <f t="shared" si="0"/>
        <v>63.868506416666662</v>
      </c>
    </row>
    <row r="49" spans="2:5" ht="15.75" customHeight="1">
      <c r="B49" s="8" t="s">
        <v>10</v>
      </c>
      <c r="C49" s="39" t="s">
        <v>53</v>
      </c>
      <c r="D49" s="34">
        <v>0.06</v>
      </c>
      <c r="E49" s="35">
        <f t="shared" si="0"/>
        <v>153.28441539999997</v>
      </c>
    </row>
    <row r="50" spans="2:5" ht="15.75" customHeight="1">
      <c r="B50" s="19" t="s">
        <v>12</v>
      </c>
      <c r="C50" s="39" t="s">
        <v>54</v>
      </c>
      <c r="D50" s="34">
        <v>1.4999999999999999E-2</v>
      </c>
      <c r="E50" s="35">
        <f t="shared" si="0"/>
        <v>38.321103849999993</v>
      </c>
    </row>
    <row r="51" spans="2:5" ht="15.75" customHeight="1">
      <c r="B51" s="19" t="s">
        <v>14</v>
      </c>
      <c r="C51" s="39" t="s">
        <v>55</v>
      </c>
      <c r="D51" s="34">
        <v>0.01</v>
      </c>
      <c r="E51" s="35">
        <f t="shared" si="0"/>
        <v>25.547402566666666</v>
      </c>
    </row>
    <row r="52" spans="2:5" ht="15.75" customHeight="1">
      <c r="B52" s="19" t="s">
        <v>36</v>
      </c>
      <c r="C52" s="40" t="s">
        <v>56</v>
      </c>
      <c r="D52" s="34">
        <v>6.0000000000000001E-3</v>
      </c>
      <c r="E52" s="35">
        <f t="shared" si="0"/>
        <v>15.32844154</v>
      </c>
    </row>
    <row r="53" spans="2:5" ht="15.75" customHeight="1">
      <c r="B53" s="19" t="s">
        <v>38</v>
      </c>
      <c r="C53" s="39" t="s">
        <v>57</v>
      </c>
      <c r="D53" s="34">
        <v>2E-3</v>
      </c>
      <c r="E53" s="35">
        <f t="shared" si="0"/>
        <v>5.1094805133333328</v>
      </c>
    </row>
    <row r="54" spans="2:5" ht="15.75" customHeight="1">
      <c r="B54" s="19" t="s">
        <v>58</v>
      </c>
      <c r="C54" s="39" t="s">
        <v>59</v>
      </c>
      <c r="D54" s="34">
        <v>0.08</v>
      </c>
      <c r="E54" s="35">
        <f t="shared" si="0"/>
        <v>204.37922053333332</v>
      </c>
    </row>
    <row r="55" spans="2:5" ht="15.75" customHeight="1">
      <c r="B55" s="203" t="s">
        <v>47</v>
      </c>
      <c r="C55" s="203"/>
      <c r="D55" s="36">
        <f>SUM(D47:D54)</f>
        <v>0.39800000000000008</v>
      </c>
      <c r="E55" s="41">
        <f>SUM(E47:E54)</f>
        <v>1016.786622153333</v>
      </c>
    </row>
    <row r="56" spans="2:5" ht="15.75" customHeight="1">
      <c r="B56" s="7"/>
      <c r="E56" s="3"/>
    </row>
    <row r="57" spans="2:5" ht="15.75" customHeight="1">
      <c r="B57" s="204" t="s">
        <v>60</v>
      </c>
      <c r="C57" s="204"/>
      <c r="D57" s="204"/>
      <c r="E57" s="204"/>
    </row>
    <row r="58" spans="2:5" ht="15.75" customHeight="1">
      <c r="B58" s="24" t="s">
        <v>61</v>
      </c>
      <c r="C58" s="25" t="s">
        <v>62</v>
      </c>
      <c r="D58" s="212" t="s">
        <v>30</v>
      </c>
      <c r="E58" s="212"/>
    </row>
    <row r="59" spans="2:5" ht="15.75" customHeight="1">
      <c r="B59" s="8" t="s">
        <v>5</v>
      </c>
      <c r="C59" s="33" t="s">
        <v>63</v>
      </c>
      <c r="D59" s="216">
        <f>3.5*4*22-(6%*$E$28)</f>
        <v>180.7226</v>
      </c>
      <c r="E59" s="216"/>
    </row>
    <row r="60" spans="2:5" ht="15.75" customHeight="1">
      <c r="B60" s="19" t="s">
        <v>7</v>
      </c>
      <c r="C60" s="39" t="s">
        <v>64</v>
      </c>
      <c r="D60" s="214">
        <v>252</v>
      </c>
      <c r="E60" s="214"/>
    </row>
    <row r="61" spans="2:5" ht="15.75" customHeight="1">
      <c r="B61" s="19" t="s">
        <v>10</v>
      </c>
      <c r="C61" s="66" t="s">
        <v>133</v>
      </c>
      <c r="D61" s="214">
        <v>18</v>
      </c>
      <c r="E61" s="214"/>
    </row>
    <row r="62" spans="2:5" ht="15.75" customHeight="1">
      <c r="B62" s="19" t="s">
        <v>12</v>
      </c>
      <c r="C62" s="66" t="s">
        <v>134</v>
      </c>
      <c r="D62" s="214">
        <v>48</v>
      </c>
      <c r="E62" s="214"/>
    </row>
    <row r="63" spans="2:5" ht="15.75" customHeight="1">
      <c r="B63" s="11" t="s">
        <v>14</v>
      </c>
      <c r="C63" s="39" t="s">
        <v>65</v>
      </c>
      <c r="D63" s="215">
        <f>E35*3%/12*3</f>
        <v>15.909675</v>
      </c>
      <c r="E63" s="215"/>
    </row>
    <row r="64" spans="2:5" ht="15.75" customHeight="1">
      <c r="B64" s="11" t="s">
        <v>36</v>
      </c>
      <c r="C64" s="39" t="s">
        <v>130</v>
      </c>
      <c r="D64" s="216">
        <v>71.45</v>
      </c>
      <c r="E64" s="216"/>
    </row>
    <row r="65" spans="2:5" ht="15.75" customHeight="1">
      <c r="B65" s="217" t="s">
        <v>66</v>
      </c>
      <c r="C65" s="217"/>
      <c r="D65" s="218">
        <f>SUM(D59:E64)</f>
        <v>586.0822750000001</v>
      </c>
      <c r="E65" s="218"/>
    </row>
    <row r="66" spans="2:5" ht="15.75" customHeight="1">
      <c r="B66" s="219"/>
      <c r="C66" s="219"/>
      <c r="D66" s="219"/>
      <c r="E66" s="219"/>
    </row>
    <row r="67" spans="2:5" ht="15.75" customHeight="1">
      <c r="B67" s="208" t="s">
        <v>68</v>
      </c>
      <c r="C67" s="208"/>
      <c r="D67" s="208"/>
      <c r="E67" s="45"/>
    </row>
    <row r="68" spans="2:5" ht="15.75" customHeight="1">
      <c r="B68" s="24">
        <v>2</v>
      </c>
      <c r="C68" s="25" t="s">
        <v>69</v>
      </c>
      <c r="D68" s="25" t="s">
        <v>30</v>
      </c>
      <c r="E68" s="43"/>
    </row>
    <row r="69" spans="2:5" ht="15.75" customHeight="1">
      <c r="B69" s="11" t="s">
        <v>42</v>
      </c>
      <c r="C69" s="39" t="s">
        <v>43</v>
      </c>
      <c r="D69" s="46">
        <f>E42</f>
        <v>433.45025666666663</v>
      </c>
      <c r="E69" s="43"/>
    </row>
    <row r="70" spans="2:5" ht="15.75" customHeight="1">
      <c r="B70" s="11" t="s">
        <v>49</v>
      </c>
      <c r="C70" s="39" t="s">
        <v>70</v>
      </c>
      <c r="D70" s="46">
        <f>E55</f>
        <v>1016.786622153333</v>
      </c>
      <c r="E70" s="43"/>
    </row>
    <row r="71" spans="2:5" ht="15.75" customHeight="1">
      <c r="B71" s="11" t="s">
        <v>61</v>
      </c>
      <c r="C71" s="39" t="s">
        <v>62</v>
      </c>
      <c r="D71" s="46">
        <f>D65</f>
        <v>586.0822750000001</v>
      </c>
      <c r="E71" s="43"/>
    </row>
    <row r="72" spans="2:5" ht="15.75" customHeight="1">
      <c r="B72" s="217" t="s">
        <v>71</v>
      </c>
      <c r="C72" s="217"/>
      <c r="D72" s="41">
        <f>SUM(D69:D71)</f>
        <v>2036.3191538199999</v>
      </c>
      <c r="E72" s="43"/>
    </row>
    <row r="73" spans="2:5" ht="15.75" customHeight="1">
      <c r="B73" s="43"/>
      <c r="C73" s="43"/>
      <c r="D73" s="43"/>
      <c r="E73" s="43"/>
    </row>
    <row r="74" spans="2:5" ht="15.75" customHeight="1">
      <c r="B74" s="204" t="s">
        <v>72</v>
      </c>
      <c r="C74" s="204"/>
      <c r="D74" s="204"/>
      <c r="E74" s="204"/>
    </row>
    <row r="75" spans="2:5" ht="15.75" customHeight="1">
      <c r="B75" s="208" t="s">
        <v>73</v>
      </c>
      <c r="C75" s="208"/>
      <c r="D75" s="208"/>
      <c r="E75" s="31">
        <f>E35+D72</f>
        <v>4157.6091538199998</v>
      </c>
    </row>
    <row r="76" spans="2:5" ht="15.75" customHeight="1">
      <c r="B76" s="24">
        <v>3</v>
      </c>
      <c r="C76" s="25" t="s">
        <v>74</v>
      </c>
      <c r="D76" s="25" t="s">
        <v>44</v>
      </c>
      <c r="E76" s="32" t="s">
        <v>30</v>
      </c>
    </row>
    <row r="77" spans="2:5" ht="15.75" customHeight="1">
      <c r="B77" s="8" t="s">
        <v>5</v>
      </c>
      <c r="C77" s="33" t="s">
        <v>75</v>
      </c>
      <c r="D77" s="47">
        <f>((1+0.121+0.0833)/12)*0.05</f>
        <v>5.0179166666666671E-3</v>
      </c>
      <c r="E77" s="35">
        <f t="shared" ref="E77:E82" si="1">D77*$E$75</f>
        <v>20.862536266439275</v>
      </c>
    </row>
    <row r="78" spans="2:5" ht="15.75" customHeight="1">
      <c r="B78" s="19" t="s">
        <v>7</v>
      </c>
      <c r="C78" s="39" t="s">
        <v>76</v>
      </c>
      <c r="D78" s="47">
        <f>(D77*D54)</f>
        <v>4.0143333333333335E-4</v>
      </c>
      <c r="E78" s="35">
        <f t="shared" si="1"/>
        <v>1.669002901315142</v>
      </c>
    </row>
    <row r="79" spans="2:5" ht="33" customHeight="1">
      <c r="B79" s="19" t="s">
        <v>10</v>
      </c>
      <c r="C79" s="39" t="s">
        <v>77</v>
      </c>
      <c r="D79" s="47">
        <f>40%*D78</f>
        <v>1.6057333333333336E-4</v>
      </c>
      <c r="E79" s="35">
        <f t="shared" si="1"/>
        <v>0.66760116052605689</v>
      </c>
    </row>
    <row r="80" spans="2:5" ht="15.75" customHeight="1">
      <c r="B80" s="19" t="s">
        <v>12</v>
      </c>
      <c r="C80" s="39" t="s">
        <v>78</v>
      </c>
      <c r="D80" s="47">
        <f>(7/30)/12</f>
        <v>1.9444444444444445E-2</v>
      </c>
      <c r="E80" s="35">
        <f t="shared" si="1"/>
        <v>80.84240021316667</v>
      </c>
    </row>
    <row r="81" spans="2:5" ht="15.75" customHeight="1">
      <c r="B81" s="19" t="s">
        <v>14</v>
      </c>
      <c r="C81" s="39" t="s">
        <v>79</v>
      </c>
      <c r="D81" s="47">
        <f>D80*D55</f>
        <v>7.7388888888888906E-3</v>
      </c>
      <c r="E81" s="35">
        <f t="shared" si="1"/>
        <v>32.175275284840339</v>
      </c>
    </row>
    <row r="82" spans="2:5" ht="15.75" customHeight="1">
      <c r="B82" s="10" t="s">
        <v>36</v>
      </c>
      <c r="C82" s="1" t="s">
        <v>80</v>
      </c>
      <c r="D82" s="47">
        <f>4/100-D91</f>
        <v>3.979166666666667E-2</v>
      </c>
      <c r="E82" s="35">
        <f t="shared" si="1"/>
        <v>165.4381975790875</v>
      </c>
    </row>
    <row r="83" spans="2:5" ht="15.75" customHeight="1">
      <c r="B83" s="203" t="s">
        <v>47</v>
      </c>
      <c r="C83" s="203"/>
      <c r="D83" s="36">
        <f>SUM(D77:D82)</f>
        <v>7.255492333333334E-2</v>
      </c>
      <c r="E83" s="37">
        <f>SUM(E77:E82)</f>
        <v>301.65501340537497</v>
      </c>
    </row>
    <row r="84" spans="2:5" ht="15.75" customHeight="1">
      <c r="B84" s="23"/>
      <c r="C84" s="23"/>
      <c r="D84" s="23"/>
      <c r="E84" s="23"/>
    </row>
    <row r="85" spans="2:5" ht="15.75" customHeight="1">
      <c r="B85" s="204" t="s">
        <v>81</v>
      </c>
      <c r="C85" s="204"/>
      <c r="D85" s="204"/>
      <c r="E85" s="204"/>
    </row>
    <row r="86" spans="2:5" ht="15.75" customHeight="1">
      <c r="B86" s="208" t="s">
        <v>83</v>
      </c>
      <c r="C86" s="208"/>
      <c r="D86" s="208"/>
      <c r="E86" s="208"/>
    </row>
    <row r="87" spans="2:5" ht="15.75" customHeight="1">
      <c r="B87" s="209" t="s">
        <v>82</v>
      </c>
      <c r="C87" s="209"/>
      <c r="D87" s="209"/>
      <c r="E87" s="31">
        <f>E35+D69+D70+E83</f>
        <v>3873.1818922253747</v>
      </c>
    </row>
    <row r="88" spans="2:5" ht="15.75" customHeight="1">
      <c r="B88" s="24" t="s">
        <v>84</v>
      </c>
      <c r="C88" s="25" t="s">
        <v>85</v>
      </c>
      <c r="D88" s="48" t="s">
        <v>44</v>
      </c>
      <c r="E88" s="32" t="s">
        <v>30</v>
      </c>
    </row>
    <row r="89" spans="2:5" ht="15.75" customHeight="1">
      <c r="B89" s="8" t="s">
        <v>5</v>
      </c>
      <c r="C89" s="49" t="s">
        <v>86</v>
      </c>
      <c r="D89" s="50">
        <v>0</v>
      </c>
      <c r="E89" s="51">
        <f t="shared" ref="E89:E94" si="2">D89*$E$87</f>
        <v>0</v>
      </c>
    </row>
    <row r="90" spans="2:5" ht="15.75" customHeight="1">
      <c r="B90" s="19" t="s">
        <v>7</v>
      </c>
      <c r="C90" s="49" t="s">
        <v>87</v>
      </c>
      <c r="D90" s="50">
        <f>(5/30)/12</f>
        <v>1.3888888888888888E-2</v>
      </c>
      <c r="E90" s="51">
        <f t="shared" si="2"/>
        <v>53.794192947574643</v>
      </c>
    </row>
    <row r="91" spans="2:5" ht="15.75" customHeight="1">
      <c r="B91" s="19" t="s">
        <v>10</v>
      </c>
      <c r="C91" s="49" t="s">
        <v>88</v>
      </c>
      <c r="D91" s="50">
        <f>((5/30)/12)*0.015</f>
        <v>2.0833333333333332E-4</v>
      </c>
      <c r="E91" s="51">
        <f t="shared" si="2"/>
        <v>0.80691289421361967</v>
      </c>
    </row>
    <row r="92" spans="2:5" ht="15.75" customHeight="1">
      <c r="B92" s="19" t="s">
        <v>12</v>
      </c>
      <c r="C92" s="49" t="s">
        <v>89</v>
      </c>
      <c r="D92" s="50">
        <f>(0.91/30)/12</f>
        <v>2.5277777777777777E-3</v>
      </c>
      <c r="E92" s="51">
        <f t="shared" si="2"/>
        <v>9.7905431164585863</v>
      </c>
    </row>
    <row r="93" spans="2:5" ht="15.75" customHeight="1">
      <c r="B93" s="19" t="s">
        <v>14</v>
      </c>
      <c r="C93" s="49" t="s">
        <v>90</v>
      </c>
      <c r="D93" s="50">
        <f>(0.121*4/12*0.04)/12</f>
        <v>1.3444444444444444E-4</v>
      </c>
      <c r="E93" s="51">
        <f t="shared" si="2"/>
        <v>0.5207277877325226</v>
      </c>
    </row>
    <row r="94" spans="2:5" ht="15.75" customHeight="1">
      <c r="B94" s="19" t="s">
        <v>36</v>
      </c>
      <c r="C94" s="49" t="s">
        <v>91</v>
      </c>
      <c r="D94" s="52">
        <f>(5.96/30)/12</f>
        <v>1.6555555555555556E-2</v>
      </c>
      <c r="E94" s="51">
        <f t="shared" si="2"/>
        <v>64.122677993508987</v>
      </c>
    </row>
    <row r="95" spans="2:5" ht="15.75" customHeight="1">
      <c r="B95" s="203" t="s">
        <v>47</v>
      </c>
      <c r="C95" s="203"/>
      <c r="D95" s="53">
        <f>SUM(D89:D94)</f>
        <v>3.3314999999999997E-2</v>
      </c>
      <c r="E95" s="37">
        <f>SUM(E89:E94)</f>
        <v>129.03505473948837</v>
      </c>
    </row>
    <row r="96" spans="2:5" ht="15.75" customHeight="1"/>
    <row r="97" spans="2:5" ht="15.75" customHeight="1">
      <c r="B97" s="210" t="s">
        <v>92</v>
      </c>
      <c r="C97" s="210"/>
      <c r="D97" s="210"/>
      <c r="E97" s="210"/>
    </row>
    <row r="98" spans="2:5" ht="15.75" customHeight="1">
      <c r="B98" s="24" t="s">
        <v>93</v>
      </c>
      <c r="C98" s="25" t="s">
        <v>67</v>
      </c>
      <c r="D98" s="32" t="s">
        <v>30</v>
      </c>
    </row>
    <row r="99" spans="2:5" ht="15.75" customHeight="1">
      <c r="B99" s="8" t="s">
        <v>5</v>
      </c>
      <c r="C99" s="33" t="s">
        <v>94</v>
      </c>
      <c r="D99" s="44"/>
    </row>
    <row r="100" spans="2:5" ht="15.75" customHeight="1">
      <c r="B100" s="203" t="s">
        <v>47</v>
      </c>
      <c r="C100" s="203"/>
      <c r="D100" s="54"/>
    </row>
    <row r="101" spans="2:5" ht="15.75" customHeight="1"/>
    <row r="102" spans="2:5" ht="15.75" customHeight="1">
      <c r="B102" s="211" t="s">
        <v>95</v>
      </c>
      <c r="C102" s="211"/>
      <c r="D102" s="211"/>
    </row>
    <row r="103" spans="2:5" ht="15.75" customHeight="1">
      <c r="B103" s="24">
        <v>4</v>
      </c>
      <c r="C103" s="25" t="s">
        <v>96</v>
      </c>
      <c r="D103" s="32" t="s">
        <v>30</v>
      </c>
    </row>
    <row r="104" spans="2:5" ht="15.75" customHeight="1">
      <c r="B104" s="19" t="s">
        <v>84</v>
      </c>
      <c r="C104" s="33" t="s">
        <v>85</v>
      </c>
      <c r="D104" s="44">
        <f>E95</f>
        <v>129.03505473948837</v>
      </c>
    </row>
    <row r="105" spans="2:5" ht="15.75" customHeight="1">
      <c r="B105" s="19" t="s">
        <v>93</v>
      </c>
      <c r="C105" s="33" t="s">
        <v>67</v>
      </c>
      <c r="D105" s="44">
        <f>D99</f>
        <v>0</v>
      </c>
    </row>
    <row r="106" spans="2:5" ht="15.75" customHeight="1">
      <c r="B106" s="203" t="s">
        <v>47</v>
      </c>
      <c r="C106" s="203"/>
      <c r="D106" s="55">
        <f>SUM(D104:D105)</f>
        <v>129.03505473948837</v>
      </c>
    </row>
    <row r="107" spans="2:5" ht="15.75" customHeight="1">
      <c r="B107" s="7"/>
      <c r="E107" s="3"/>
    </row>
    <row r="108" spans="2:5" ht="15.75" customHeight="1">
      <c r="B108" s="204" t="s">
        <v>97</v>
      </c>
      <c r="C108" s="204"/>
      <c r="D108" s="204"/>
      <c r="E108" s="204"/>
    </row>
    <row r="109" spans="2:5" ht="15.75" customHeight="1">
      <c r="B109" s="24">
        <v>5</v>
      </c>
      <c r="C109" s="212" t="s">
        <v>98</v>
      </c>
      <c r="D109" s="212"/>
      <c r="E109" s="26" t="s">
        <v>30</v>
      </c>
    </row>
    <row r="110" spans="2:5" ht="15.75" customHeight="1">
      <c r="B110" s="8" t="s">
        <v>5</v>
      </c>
      <c r="C110" s="213" t="s">
        <v>135</v>
      </c>
      <c r="D110" s="207"/>
      <c r="E110" s="27">
        <v>40</v>
      </c>
    </row>
    <row r="111" spans="2:5" ht="15.75" customHeight="1">
      <c r="B111" s="19" t="s">
        <v>7</v>
      </c>
      <c r="C111" s="197" t="s">
        <v>99</v>
      </c>
      <c r="D111" s="197"/>
      <c r="E111" s="28"/>
    </row>
    <row r="112" spans="2:5" ht="15.75" customHeight="1">
      <c r="B112" s="19" t="s">
        <v>10</v>
      </c>
      <c r="C112" s="197" t="s">
        <v>100</v>
      </c>
      <c r="D112" s="197"/>
      <c r="E112" s="28"/>
    </row>
    <row r="113" spans="2:7" ht="15.75" customHeight="1">
      <c r="B113" s="19" t="s">
        <v>12</v>
      </c>
      <c r="C113" s="201" t="s">
        <v>136</v>
      </c>
      <c r="D113" s="197"/>
      <c r="E113" s="28">
        <v>20</v>
      </c>
    </row>
    <row r="114" spans="2:7" ht="15.75" customHeight="1">
      <c r="B114" s="10" t="s">
        <v>14</v>
      </c>
      <c r="C114" s="202"/>
      <c r="D114" s="202"/>
      <c r="E114" s="29"/>
    </row>
    <row r="115" spans="2:7" ht="15.75" customHeight="1">
      <c r="B115" s="203" t="s">
        <v>101</v>
      </c>
      <c r="C115" s="203"/>
      <c r="D115" s="203"/>
      <c r="E115" s="30">
        <f>SUM(E110:E114)</f>
        <v>60</v>
      </c>
    </row>
    <row r="116" spans="2:7" ht="15.75" customHeight="1"/>
    <row r="117" spans="2:7" ht="15.75" customHeight="1">
      <c r="B117" s="204" t="s">
        <v>102</v>
      </c>
      <c r="C117" s="204"/>
      <c r="D117" s="204"/>
      <c r="E117" s="204"/>
    </row>
    <row r="118" spans="2:7" ht="30" customHeight="1">
      <c r="B118" s="205" t="s">
        <v>103</v>
      </c>
      <c r="C118" s="205"/>
      <c r="D118" s="205"/>
      <c r="E118" s="31">
        <f>E137</f>
        <v>4648.2992219648631</v>
      </c>
    </row>
    <row r="119" spans="2:7" ht="27.75" customHeight="1">
      <c r="B119" s="205" t="s">
        <v>104</v>
      </c>
      <c r="C119" s="205"/>
      <c r="D119" s="205"/>
      <c r="E119" s="31">
        <f>E118+E121</f>
        <v>4880.7141830631062</v>
      </c>
    </row>
    <row r="120" spans="2:7" ht="15.75" customHeight="1">
      <c r="B120" s="56">
        <v>5</v>
      </c>
      <c r="C120" s="56" t="s">
        <v>105</v>
      </c>
      <c r="D120" s="56" t="s">
        <v>44</v>
      </c>
      <c r="E120" s="56" t="s">
        <v>30</v>
      </c>
    </row>
    <row r="121" spans="2:7" ht="15.75" customHeight="1">
      <c r="B121" s="11" t="s">
        <v>5</v>
      </c>
      <c r="C121" s="57" t="s">
        <v>106</v>
      </c>
      <c r="D121" s="50">
        <v>0.05</v>
      </c>
      <c r="E121" s="42">
        <f>D121*$E$118</f>
        <v>232.41496109824317</v>
      </c>
      <c r="G121" s="38"/>
    </row>
    <row r="122" spans="2:7" ht="15.75" customHeight="1">
      <c r="B122" s="11" t="s">
        <v>7</v>
      </c>
      <c r="C122" s="57" t="s">
        <v>107</v>
      </c>
      <c r="D122" s="50">
        <v>0.1</v>
      </c>
      <c r="E122" s="42">
        <f>D122*$E$119</f>
        <v>488.07141830631065</v>
      </c>
    </row>
    <row r="123" spans="2:7" ht="15.75" customHeight="1">
      <c r="B123" s="11" t="s">
        <v>10</v>
      </c>
      <c r="C123" s="39" t="s">
        <v>129</v>
      </c>
      <c r="D123" s="58">
        <f>SUM(D124:D127)</f>
        <v>8.6499999999999994E-2</v>
      </c>
      <c r="E123" s="42"/>
    </row>
    <row r="124" spans="2:7" ht="15.75" customHeight="1">
      <c r="B124" s="11" t="s">
        <v>108</v>
      </c>
      <c r="C124" s="39" t="s">
        <v>109</v>
      </c>
      <c r="D124" s="59">
        <v>0</v>
      </c>
      <c r="E124" s="42"/>
    </row>
    <row r="125" spans="2:7" ht="15.75" customHeight="1">
      <c r="B125" s="11" t="s">
        <v>110</v>
      </c>
      <c r="C125" s="39" t="s">
        <v>111</v>
      </c>
      <c r="D125" s="59">
        <v>6.4999999999999997E-3</v>
      </c>
      <c r="E125" s="42">
        <f>(E137+E121+E122)/(1-D123)*D125</f>
        <v>38.201539582814682</v>
      </c>
    </row>
    <row r="126" spans="2:7" ht="15.75" customHeight="1">
      <c r="B126" s="11" t="s">
        <v>112</v>
      </c>
      <c r="C126" s="39" t="s">
        <v>113</v>
      </c>
      <c r="D126" s="59">
        <v>0.03</v>
      </c>
      <c r="E126" s="42">
        <f>(E137+E121+E122)/(1-D123)*D126</f>
        <v>176.31479807452931</v>
      </c>
    </row>
    <row r="127" spans="2:7" ht="15.75" customHeight="1">
      <c r="B127" s="11" t="s">
        <v>114</v>
      </c>
      <c r="C127" s="12" t="s">
        <v>115</v>
      </c>
      <c r="D127" s="59">
        <v>0.05</v>
      </c>
      <c r="E127" s="42">
        <f>(E137+E121+E122)/(1-D123)*D127</f>
        <v>293.85799679088217</v>
      </c>
    </row>
    <row r="128" spans="2:7" ht="15.75" customHeight="1">
      <c r="B128" s="206" t="s">
        <v>47</v>
      </c>
      <c r="C128" s="206"/>
      <c r="D128" s="206"/>
      <c r="E128" s="60">
        <f>SUM(E121:E127)</f>
        <v>1228.86071385278</v>
      </c>
    </row>
    <row r="129" spans="1:5" ht="15.75" customHeight="1">
      <c r="B129" s="7"/>
      <c r="E129" s="3"/>
    </row>
    <row r="130" spans="1:5" ht="15.75" customHeight="1">
      <c r="B130" s="204" t="s">
        <v>116</v>
      </c>
      <c r="C130" s="204"/>
      <c r="D130" s="204"/>
      <c r="E130" s="204"/>
    </row>
    <row r="131" spans="1:5" ht="15.75" customHeight="1">
      <c r="B131" s="203" t="s">
        <v>117</v>
      </c>
      <c r="C131" s="203"/>
      <c r="D131" s="203"/>
      <c r="E131" s="32" t="s">
        <v>118</v>
      </c>
    </row>
    <row r="132" spans="1:5" ht="15.75" customHeight="1">
      <c r="B132" s="8" t="s">
        <v>5</v>
      </c>
      <c r="C132" s="207" t="s">
        <v>119</v>
      </c>
      <c r="D132" s="207"/>
      <c r="E132" s="27">
        <f>E35</f>
        <v>2121.29</v>
      </c>
    </row>
    <row r="133" spans="1:5" ht="15.75" customHeight="1">
      <c r="B133" s="19" t="s">
        <v>7</v>
      </c>
      <c r="C133" s="197" t="s">
        <v>120</v>
      </c>
      <c r="D133" s="197"/>
      <c r="E133" s="28">
        <f>D72</f>
        <v>2036.3191538199999</v>
      </c>
    </row>
    <row r="134" spans="1:5" ht="15.75" customHeight="1">
      <c r="B134" s="19" t="s">
        <v>10</v>
      </c>
      <c r="C134" s="197" t="s">
        <v>121</v>
      </c>
      <c r="D134" s="197"/>
      <c r="E134" s="28">
        <f>E83</f>
        <v>301.65501340537497</v>
      </c>
    </row>
    <row r="135" spans="1:5" ht="15.75" customHeight="1">
      <c r="B135" s="19" t="s">
        <v>12</v>
      </c>
      <c r="C135" s="61" t="s">
        <v>122</v>
      </c>
      <c r="D135" s="62"/>
      <c r="E135" s="28">
        <f>D106</f>
        <v>129.03505473948837</v>
      </c>
    </row>
    <row r="136" spans="1:5" ht="15.75" customHeight="1">
      <c r="B136" s="19" t="s">
        <v>14</v>
      </c>
      <c r="C136" s="197" t="s">
        <v>123</v>
      </c>
      <c r="D136" s="197"/>
      <c r="E136" s="28">
        <f>E115</f>
        <v>60</v>
      </c>
    </row>
    <row r="137" spans="1:5" ht="15.75" customHeight="1">
      <c r="B137" s="198" t="s">
        <v>124</v>
      </c>
      <c r="C137" s="198"/>
      <c r="D137" s="198"/>
      <c r="E137" s="28">
        <f>SUM(E132:E136)</f>
        <v>4648.2992219648631</v>
      </c>
    </row>
    <row r="138" spans="1:5" ht="15.75" customHeight="1">
      <c r="B138" s="10" t="s">
        <v>36</v>
      </c>
      <c r="C138" s="199" t="s">
        <v>125</v>
      </c>
      <c r="D138" s="199"/>
      <c r="E138" s="63">
        <f>E128</f>
        <v>1228.86071385278</v>
      </c>
    </row>
    <row r="139" spans="1:5" ht="15.75" customHeight="1">
      <c r="B139" s="200" t="s">
        <v>126</v>
      </c>
      <c r="C139" s="200"/>
      <c r="D139" s="200"/>
      <c r="E139" s="64">
        <f>SUM(E137:E138)</f>
        <v>5877.1599358176427</v>
      </c>
    </row>
    <row r="140" spans="1:5" ht="15.75" customHeight="1"/>
    <row r="141" spans="1:5" ht="15.75" customHeight="1">
      <c r="B141" s="194"/>
      <c r="C141" s="194"/>
      <c r="D141" s="194"/>
      <c r="E141" s="194"/>
    </row>
    <row r="142" spans="1:5" ht="15.75" customHeight="1">
      <c r="B142" s="194"/>
      <c r="C142" s="194"/>
      <c r="D142" s="194"/>
      <c r="E142" s="194"/>
    </row>
    <row r="143" spans="1:5" ht="15.75" customHeight="1">
      <c r="A143" t="s">
        <v>137</v>
      </c>
    </row>
    <row r="144" spans="1:5" ht="82.5" customHeight="1">
      <c r="B144" s="229" t="s">
        <v>138</v>
      </c>
      <c r="C144" s="230"/>
      <c r="D144" s="230"/>
      <c r="E144" s="230"/>
    </row>
    <row r="145" spans="2:5" ht="51" customHeight="1">
      <c r="B145" s="195" t="s">
        <v>139</v>
      </c>
      <c r="C145" s="195"/>
      <c r="D145" s="195"/>
      <c r="E145" s="195"/>
    </row>
    <row r="146" spans="2:5" ht="15.75" customHeight="1">
      <c r="B146" t="s">
        <v>140</v>
      </c>
    </row>
    <row r="147" spans="2:5" ht="15.75" customHeight="1"/>
    <row r="148" spans="2:5" ht="15.75" customHeight="1"/>
    <row r="149" spans="2:5" ht="15.75" customHeight="1"/>
    <row r="150" spans="2:5" ht="15.75" customHeight="1"/>
    <row r="151" spans="2:5" ht="15.75" customHeight="1"/>
    <row r="152" spans="2:5" ht="15.75" customHeight="1"/>
    <row r="153" spans="2:5" ht="15.75" customHeight="1"/>
    <row r="154" spans="2:5" ht="15.75" customHeight="1"/>
    <row r="155" spans="2:5" ht="15.75" customHeight="1"/>
    <row r="156" spans="2:5" ht="15.75" customHeight="1"/>
    <row r="157" spans="2:5" ht="15.75" customHeight="1"/>
    <row r="158" spans="2:5" ht="15.75" customHeight="1"/>
    <row r="159" spans="2:5" ht="15.75" customHeight="1"/>
    <row r="160" spans="2:5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4">
    <mergeCell ref="B137:D137"/>
    <mergeCell ref="C138:D138"/>
    <mergeCell ref="B139:D139"/>
    <mergeCell ref="B131:D131"/>
    <mergeCell ref="C132:D132"/>
    <mergeCell ref="C133:D133"/>
    <mergeCell ref="C134:D134"/>
    <mergeCell ref="C136:D136"/>
    <mergeCell ref="B117:E117"/>
    <mergeCell ref="B118:D118"/>
    <mergeCell ref="B119:D119"/>
    <mergeCell ref="B128:D128"/>
    <mergeCell ref="B130:E130"/>
    <mergeCell ref="C111:D111"/>
    <mergeCell ref="C112:D112"/>
    <mergeCell ref="C113:D113"/>
    <mergeCell ref="C114:D114"/>
    <mergeCell ref="B115:D115"/>
    <mergeCell ref="B102:D102"/>
    <mergeCell ref="B106:C106"/>
    <mergeCell ref="B108:E108"/>
    <mergeCell ref="C109:D109"/>
    <mergeCell ref="C110:D110"/>
    <mergeCell ref="B86:E86"/>
    <mergeCell ref="B87:D87"/>
    <mergeCell ref="B95:C95"/>
    <mergeCell ref="B97:E97"/>
    <mergeCell ref="B100:C100"/>
    <mergeCell ref="B72:C72"/>
    <mergeCell ref="B74:E74"/>
    <mergeCell ref="B75:D75"/>
    <mergeCell ref="B83:C83"/>
    <mergeCell ref="B85:E85"/>
    <mergeCell ref="D64:E64"/>
    <mergeCell ref="B65:C65"/>
    <mergeCell ref="D65:E65"/>
    <mergeCell ref="B66:E66"/>
    <mergeCell ref="B67:D67"/>
    <mergeCell ref="D59:E59"/>
    <mergeCell ref="D60:E60"/>
    <mergeCell ref="D61:E61"/>
    <mergeCell ref="D62:E62"/>
    <mergeCell ref="D63:E63"/>
    <mergeCell ref="B44:E44"/>
    <mergeCell ref="B45:D45"/>
    <mergeCell ref="B55:C55"/>
    <mergeCell ref="B57:E57"/>
    <mergeCell ref="D58:E58"/>
    <mergeCell ref="C34:D34"/>
    <mergeCell ref="B35:D35"/>
    <mergeCell ref="B37:E37"/>
    <mergeCell ref="B38:D38"/>
    <mergeCell ref="B42:C42"/>
    <mergeCell ref="C29:D29"/>
    <mergeCell ref="C30:D30"/>
    <mergeCell ref="C31:D31"/>
    <mergeCell ref="C32:D32"/>
    <mergeCell ref="C33:D33"/>
    <mergeCell ref="C23:D23"/>
    <mergeCell ref="C24:D24"/>
    <mergeCell ref="B26:E26"/>
    <mergeCell ref="C27:D27"/>
    <mergeCell ref="C28:D28"/>
    <mergeCell ref="B17:C17"/>
    <mergeCell ref="B19:E19"/>
    <mergeCell ref="C20:D20"/>
    <mergeCell ref="C21:D21"/>
    <mergeCell ref="C22:D22"/>
    <mergeCell ref="B141:E141"/>
    <mergeCell ref="B142:E142"/>
    <mergeCell ref="B144:E144"/>
    <mergeCell ref="B145:E145"/>
    <mergeCell ref="B1:E2"/>
    <mergeCell ref="C4:E4"/>
    <mergeCell ref="C5:E5"/>
    <mergeCell ref="C6:E6"/>
    <mergeCell ref="B8:E8"/>
    <mergeCell ref="C9:D9"/>
    <mergeCell ref="C10:D10"/>
    <mergeCell ref="C11:D11"/>
    <mergeCell ref="C12:D12"/>
    <mergeCell ref="C13:D13"/>
    <mergeCell ref="B15:E15"/>
    <mergeCell ref="B16:C16"/>
  </mergeCells>
  <pageMargins left="0.51180555555555596" right="0.51180555555555596" top="0.78749999999999998" bottom="0.78749999999999998" header="0.511811023622047" footer="0.511811023622047"/>
  <pageSetup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C1EDC-E9E2-42BF-A24D-7F2ECD89619C}">
  <dimension ref="A1:E146"/>
  <sheetViews>
    <sheetView tabSelected="1" workbookViewId="0">
      <selection activeCell="E14" sqref="E14"/>
    </sheetView>
  </sheetViews>
  <sheetFormatPr defaultRowHeight="15"/>
  <cols>
    <col min="1" max="1" width="8.7109375" customWidth="1"/>
    <col min="2" max="2" width="14.5703125" customWidth="1"/>
    <col min="3" max="3" width="59" customWidth="1"/>
    <col min="4" max="4" width="20" customWidth="1"/>
    <col min="5" max="5" width="38.5703125" customWidth="1"/>
  </cols>
  <sheetData>
    <row r="1" spans="2:5" ht="15.75" thickBot="1">
      <c r="B1" s="222" t="s">
        <v>0</v>
      </c>
      <c r="C1" s="222"/>
      <c r="D1" s="222"/>
      <c r="E1" s="222"/>
    </row>
    <row r="2" spans="2:5" ht="15.75" thickBot="1">
      <c r="B2" s="222"/>
      <c r="C2" s="222"/>
      <c r="D2" s="222"/>
      <c r="E2" s="222"/>
    </row>
    <row r="3" spans="2:5" ht="15.75" thickBot="1">
      <c r="B3" s="2"/>
      <c r="E3" s="3"/>
    </row>
    <row r="4" spans="2:5">
      <c r="B4" s="4" t="s">
        <v>1</v>
      </c>
      <c r="C4" s="223" t="s">
        <v>171</v>
      </c>
      <c r="D4" s="223"/>
      <c r="E4" s="223"/>
    </row>
    <row r="5" spans="2:5">
      <c r="B5" s="5" t="s">
        <v>2</v>
      </c>
      <c r="C5" s="224"/>
      <c r="D5" s="224"/>
      <c r="E5" s="224"/>
    </row>
    <row r="6" spans="2:5" ht="15.75" thickBot="1">
      <c r="B6" s="6" t="s">
        <v>3</v>
      </c>
      <c r="C6" s="225"/>
      <c r="D6" s="225"/>
      <c r="E6" s="225"/>
    </row>
    <row r="7" spans="2:5" ht="15.75" thickBot="1">
      <c r="B7" s="7"/>
      <c r="C7" s="7"/>
      <c r="D7" s="7"/>
      <c r="E7" s="3"/>
    </row>
    <row r="8" spans="2:5" ht="15.75" thickBot="1">
      <c r="B8" s="226" t="s">
        <v>4</v>
      </c>
      <c r="C8" s="226"/>
      <c r="D8" s="226"/>
      <c r="E8" s="226"/>
    </row>
    <row r="9" spans="2:5">
      <c r="B9" s="8" t="s">
        <v>5</v>
      </c>
      <c r="C9" s="207" t="s">
        <v>6</v>
      </c>
      <c r="D9" s="207"/>
      <c r="E9" s="9"/>
    </row>
    <row r="10" spans="2:5">
      <c r="B10" s="19" t="s">
        <v>7</v>
      </c>
      <c r="C10" s="197" t="s">
        <v>8</v>
      </c>
      <c r="D10" s="197"/>
      <c r="E10" s="21" t="s">
        <v>9</v>
      </c>
    </row>
    <row r="11" spans="2:5" ht="54">
      <c r="B11" s="19" t="s">
        <v>10</v>
      </c>
      <c r="C11" s="197" t="s">
        <v>11</v>
      </c>
      <c r="D11" s="197"/>
      <c r="E11" s="179" t="s">
        <v>252</v>
      </c>
    </row>
    <row r="12" spans="2:5">
      <c r="B12" s="19" t="s">
        <v>12</v>
      </c>
      <c r="C12" s="197" t="s">
        <v>13</v>
      </c>
      <c r="D12" s="197"/>
      <c r="E12" s="21" t="s">
        <v>131</v>
      </c>
    </row>
    <row r="13" spans="2:5" ht="15.75" thickBot="1">
      <c r="B13" s="14" t="s">
        <v>14</v>
      </c>
      <c r="C13" s="202" t="s">
        <v>15</v>
      </c>
      <c r="D13" s="202"/>
      <c r="E13" s="15">
        <v>24</v>
      </c>
    </row>
    <row r="14" spans="2:5" ht="15.75" thickBot="1">
      <c r="B14" s="7"/>
      <c r="C14" s="7"/>
      <c r="D14" s="7"/>
      <c r="E14" s="3"/>
    </row>
    <row r="15" spans="2:5" ht="15.75" thickBot="1">
      <c r="B15" s="226" t="s">
        <v>16</v>
      </c>
      <c r="C15" s="226"/>
      <c r="D15" s="226"/>
      <c r="E15" s="226"/>
    </row>
    <row r="16" spans="2:5">
      <c r="B16" s="227" t="s">
        <v>17</v>
      </c>
      <c r="C16" s="227"/>
      <c r="D16" s="16" t="s">
        <v>18</v>
      </c>
      <c r="E16" s="17" t="s">
        <v>19</v>
      </c>
    </row>
    <row r="17" spans="2:5" ht="15.75" thickBot="1">
      <c r="B17" s="228" t="str">
        <f>E22</f>
        <v>OPERADOR DE MÁQUINA</v>
      </c>
      <c r="C17" s="228"/>
      <c r="D17" s="18" t="s">
        <v>20</v>
      </c>
      <c r="E17" s="15">
        <v>1</v>
      </c>
    </row>
    <row r="18" spans="2:5" ht="15.75" thickBot="1">
      <c r="B18" s="3"/>
      <c r="E18" s="3"/>
    </row>
    <row r="19" spans="2:5" ht="15.75" thickBot="1">
      <c r="B19" s="200" t="s">
        <v>21</v>
      </c>
      <c r="C19" s="200"/>
      <c r="D19" s="200"/>
      <c r="E19" s="200"/>
    </row>
    <row r="20" spans="2:5">
      <c r="B20" s="8">
        <v>1</v>
      </c>
      <c r="C20" s="207" t="s">
        <v>22</v>
      </c>
      <c r="D20" s="207"/>
      <c r="E20" s="13" t="str">
        <f>E22</f>
        <v>OPERADOR DE MÁQUINA</v>
      </c>
    </row>
    <row r="21" spans="2:5">
      <c r="B21" s="19">
        <v>2</v>
      </c>
      <c r="C21" s="220" t="s">
        <v>23</v>
      </c>
      <c r="D21" s="220"/>
      <c r="E21" s="20">
        <v>2222.13</v>
      </c>
    </row>
    <row r="22" spans="2:5">
      <c r="B22" s="19">
        <v>3</v>
      </c>
      <c r="C22" s="197" t="s">
        <v>24</v>
      </c>
      <c r="D22" s="197"/>
      <c r="E22" s="181" t="s">
        <v>251</v>
      </c>
    </row>
    <row r="23" spans="2:5">
      <c r="B23" s="19">
        <v>4</v>
      </c>
      <c r="C23" s="197" t="s">
        <v>25</v>
      </c>
      <c r="D23" s="197"/>
      <c r="E23" s="22" t="s">
        <v>132</v>
      </c>
    </row>
    <row r="24" spans="2:5" ht="15.75" thickBot="1">
      <c r="B24" s="14">
        <v>5</v>
      </c>
      <c r="C24" s="202" t="s">
        <v>26</v>
      </c>
      <c r="D24" s="202"/>
      <c r="E24" s="15">
        <f>E17</f>
        <v>1</v>
      </c>
    </row>
    <row r="25" spans="2:5">
      <c r="B25" s="7"/>
      <c r="E25" s="3"/>
    </row>
    <row r="26" spans="2:5" ht="16.5" thickBot="1">
      <c r="B26" s="204" t="s">
        <v>27</v>
      </c>
      <c r="C26" s="204"/>
      <c r="D26" s="204"/>
      <c r="E26" s="204"/>
    </row>
    <row r="27" spans="2:5" ht="15.75" thickBot="1">
      <c r="B27" s="24" t="s">
        <v>28</v>
      </c>
      <c r="C27" s="212" t="s">
        <v>29</v>
      </c>
      <c r="D27" s="212"/>
      <c r="E27" s="26" t="s">
        <v>30</v>
      </c>
    </row>
    <row r="28" spans="2:5">
      <c r="B28" s="8" t="s">
        <v>5</v>
      </c>
      <c r="C28" s="221" t="s">
        <v>31</v>
      </c>
      <c r="D28" s="221"/>
      <c r="E28" s="27">
        <f>E21</f>
        <v>2222.13</v>
      </c>
    </row>
    <row r="29" spans="2:5">
      <c r="B29" s="19" t="s">
        <v>7</v>
      </c>
      <c r="C29" s="197" t="s">
        <v>32</v>
      </c>
      <c r="D29" s="197"/>
      <c r="E29" s="28"/>
    </row>
    <row r="30" spans="2:5">
      <c r="B30" s="19" t="s">
        <v>10</v>
      </c>
      <c r="C30" s="197" t="s">
        <v>33</v>
      </c>
      <c r="D30" s="197"/>
      <c r="E30" s="28"/>
    </row>
    <row r="31" spans="2:5">
      <c r="B31" s="19" t="s">
        <v>12</v>
      </c>
      <c r="C31" s="197" t="s">
        <v>34</v>
      </c>
      <c r="D31" s="197"/>
      <c r="E31" s="28"/>
    </row>
    <row r="32" spans="2:5">
      <c r="B32" s="19" t="s">
        <v>14</v>
      </c>
      <c r="C32" s="197" t="s">
        <v>35</v>
      </c>
      <c r="D32" s="197"/>
      <c r="E32" s="28"/>
    </row>
    <row r="33" spans="2:5">
      <c r="B33" s="19" t="s">
        <v>36</v>
      </c>
      <c r="C33" s="197" t="s">
        <v>37</v>
      </c>
      <c r="D33" s="197"/>
      <c r="E33" s="28"/>
    </row>
    <row r="34" spans="2:5" ht="15.75" thickBot="1">
      <c r="B34" s="10" t="s">
        <v>38</v>
      </c>
      <c r="C34" s="202" t="s">
        <v>39</v>
      </c>
      <c r="D34" s="202"/>
      <c r="E34" s="29"/>
    </row>
    <row r="35" spans="2:5" ht="15.75" thickBot="1">
      <c r="B35" s="203" t="s">
        <v>40</v>
      </c>
      <c r="C35" s="203"/>
      <c r="D35" s="203"/>
      <c r="E35" s="30">
        <f>SUM(E28:E34)</f>
        <v>2222.13</v>
      </c>
    </row>
    <row r="36" spans="2:5">
      <c r="B36" s="7"/>
      <c r="E36" s="3"/>
    </row>
    <row r="37" spans="2:5" ht="15.75">
      <c r="B37" s="204" t="s">
        <v>41</v>
      </c>
      <c r="C37" s="204"/>
      <c r="D37" s="204"/>
      <c r="E37" s="204"/>
    </row>
    <row r="38" spans="2:5" ht="16.5" thickBot="1">
      <c r="B38" s="208" t="s">
        <v>127</v>
      </c>
      <c r="C38" s="208"/>
      <c r="D38" s="208"/>
      <c r="E38" s="65">
        <f>E35</f>
        <v>2222.13</v>
      </c>
    </row>
    <row r="39" spans="2:5" ht="15.75" thickBot="1">
      <c r="B39" s="24" t="s">
        <v>42</v>
      </c>
      <c r="C39" s="25" t="s">
        <v>43</v>
      </c>
      <c r="D39" s="25" t="s">
        <v>44</v>
      </c>
      <c r="E39" s="32" t="s">
        <v>30</v>
      </c>
    </row>
    <row r="40" spans="2:5">
      <c r="B40" s="8" t="s">
        <v>5</v>
      </c>
      <c r="C40" s="33" t="s">
        <v>45</v>
      </c>
      <c r="D40" s="34">
        <f>1/12</f>
        <v>8.3333333333333329E-2</v>
      </c>
      <c r="E40" s="35">
        <f>D40*$E$38</f>
        <v>185.17750000000001</v>
      </c>
    </row>
    <row r="41" spans="2:5" ht="15.75" thickBot="1">
      <c r="B41" s="8" t="s">
        <v>7</v>
      </c>
      <c r="C41" s="33" t="s">
        <v>46</v>
      </c>
      <c r="D41" s="34">
        <v>0.121</v>
      </c>
      <c r="E41" s="35">
        <f>D41*$E$38</f>
        <v>268.87772999999999</v>
      </c>
    </row>
    <row r="42" spans="2:5" ht="15.75" thickBot="1">
      <c r="B42" s="203" t="s">
        <v>47</v>
      </c>
      <c r="C42" s="203"/>
      <c r="D42" s="36">
        <f>SUM(D40:D41)</f>
        <v>0.20433333333333331</v>
      </c>
      <c r="E42" s="37">
        <f>SUM(E40:E41)</f>
        <v>454.05522999999999</v>
      </c>
    </row>
    <row r="43" spans="2:5">
      <c r="B43" s="7"/>
      <c r="E43" s="3"/>
    </row>
    <row r="44" spans="2:5" ht="15.75">
      <c r="B44" s="204" t="s">
        <v>48</v>
      </c>
      <c r="C44" s="204"/>
      <c r="D44" s="204"/>
      <c r="E44" s="204"/>
    </row>
    <row r="45" spans="2:5" ht="16.5" thickBot="1">
      <c r="B45" s="208" t="s">
        <v>128</v>
      </c>
      <c r="C45" s="208"/>
      <c r="D45" s="208"/>
      <c r="E45" s="65">
        <f>E35+E42</f>
        <v>2676.18523</v>
      </c>
    </row>
    <row r="46" spans="2:5" ht="15.75" thickBot="1">
      <c r="B46" s="24" t="s">
        <v>49</v>
      </c>
      <c r="C46" s="25" t="s">
        <v>50</v>
      </c>
      <c r="D46" s="25" t="s">
        <v>44</v>
      </c>
      <c r="E46" s="32" t="s">
        <v>30</v>
      </c>
    </row>
    <row r="47" spans="2:5">
      <c r="B47" s="8" t="s">
        <v>5</v>
      </c>
      <c r="C47" s="33" t="s">
        <v>51</v>
      </c>
      <c r="D47" s="34">
        <v>0.2</v>
      </c>
      <c r="E47" s="35">
        <f t="shared" ref="E47:E54" si="0">D47*$E$45</f>
        <v>535.23704600000008</v>
      </c>
    </row>
    <row r="48" spans="2:5">
      <c r="B48" s="8" t="s">
        <v>7</v>
      </c>
      <c r="C48" s="12" t="s">
        <v>52</v>
      </c>
      <c r="D48" s="34">
        <v>2.5000000000000001E-2</v>
      </c>
      <c r="E48" s="35">
        <f t="shared" si="0"/>
        <v>66.90463075000001</v>
      </c>
    </row>
    <row r="49" spans="2:5">
      <c r="B49" s="8" t="s">
        <v>10</v>
      </c>
      <c r="C49" s="39" t="s">
        <v>53</v>
      </c>
      <c r="D49" s="34">
        <v>0.06</v>
      </c>
      <c r="E49" s="35">
        <f t="shared" si="0"/>
        <v>160.57111380000001</v>
      </c>
    </row>
    <row r="50" spans="2:5">
      <c r="B50" s="19" t="s">
        <v>12</v>
      </c>
      <c r="C50" s="39" t="s">
        <v>54</v>
      </c>
      <c r="D50" s="34">
        <v>1.4999999999999999E-2</v>
      </c>
      <c r="E50" s="35">
        <f t="shared" si="0"/>
        <v>40.142778450000002</v>
      </c>
    </row>
    <row r="51" spans="2:5">
      <c r="B51" s="19" t="s">
        <v>14</v>
      </c>
      <c r="C51" s="39" t="s">
        <v>55</v>
      </c>
      <c r="D51" s="34">
        <v>0.01</v>
      </c>
      <c r="E51" s="35">
        <f t="shared" si="0"/>
        <v>26.761852300000001</v>
      </c>
    </row>
    <row r="52" spans="2:5">
      <c r="B52" s="19" t="s">
        <v>36</v>
      </c>
      <c r="C52" s="40" t="s">
        <v>56</v>
      </c>
      <c r="D52" s="34">
        <v>6.0000000000000001E-3</v>
      </c>
      <c r="E52" s="35">
        <f t="shared" si="0"/>
        <v>16.057111380000002</v>
      </c>
    </row>
    <row r="53" spans="2:5">
      <c r="B53" s="19" t="s">
        <v>38</v>
      </c>
      <c r="C53" s="39" t="s">
        <v>57</v>
      </c>
      <c r="D53" s="34">
        <v>2E-3</v>
      </c>
      <c r="E53" s="35">
        <f t="shared" si="0"/>
        <v>5.3523704600000004</v>
      </c>
    </row>
    <row r="54" spans="2:5" ht="15.75" thickBot="1">
      <c r="B54" s="19" t="s">
        <v>58</v>
      </c>
      <c r="C54" s="39" t="s">
        <v>59</v>
      </c>
      <c r="D54" s="34">
        <v>0.08</v>
      </c>
      <c r="E54" s="35">
        <f t="shared" si="0"/>
        <v>214.09481840000001</v>
      </c>
    </row>
    <row r="55" spans="2:5" ht="15.75" thickBot="1">
      <c r="B55" s="203" t="s">
        <v>47</v>
      </c>
      <c r="C55" s="203"/>
      <c r="D55" s="36">
        <f>SUM(D47:D54)</f>
        <v>0.39800000000000008</v>
      </c>
      <c r="E55" s="41">
        <f>SUM(E47:E54)</f>
        <v>1065.1217215400002</v>
      </c>
    </row>
    <row r="56" spans="2:5">
      <c r="B56" s="7"/>
      <c r="E56" s="3"/>
    </row>
    <row r="57" spans="2:5" ht="16.5" thickBot="1">
      <c r="B57" s="204" t="s">
        <v>60</v>
      </c>
      <c r="C57" s="204"/>
      <c r="D57" s="204"/>
      <c r="E57" s="204"/>
    </row>
    <row r="58" spans="2:5" ht="15.75" thickBot="1">
      <c r="B58" s="24" t="s">
        <v>61</v>
      </c>
      <c r="C58" s="25" t="s">
        <v>62</v>
      </c>
      <c r="D58" s="212" t="s">
        <v>30</v>
      </c>
      <c r="E58" s="212"/>
    </row>
    <row r="59" spans="2:5">
      <c r="B59" s="8" t="s">
        <v>5</v>
      </c>
      <c r="C59" s="33" t="s">
        <v>63</v>
      </c>
      <c r="D59" s="216">
        <f>3.5*4*22-(6%*$E$28)</f>
        <v>174.6722</v>
      </c>
      <c r="E59" s="216"/>
    </row>
    <row r="60" spans="2:5">
      <c r="B60" s="19" t="s">
        <v>7</v>
      </c>
      <c r="C60" s="39" t="s">
        <v>64</v>
      </c>
      <c r="D60" s="214">
        <v>252</v>
      </c>
      <c r="E60" s="214"/>
    </row>
    <row r="61" spans="2:5">
      <c r="B61" s="19" t="s">
        <v>10</v>
      </c>
      <c r="C61" s="66" t="s">
        <v>133</v>
      </c>
      <c r="D61" s="214">
        <v>18</v>
      </c>
      <c r="E61" s="214"/>
    </row>
    <row r="62" spans="2:5">
      <c r="B62" s="19" t="s">
        <v>12</v>
      </c>
      <c r="C62" s="66" t="s">
        <v>134</v>
      </c>
      <c r="D62" s="214">
        <v>48</v>
      </c>
      <c r="E62" s="214"/>
    </row>
    <row r="63" spans="2:5" ht="15.75" thickBot="1">
      <c r="B63" s="11" t="s">
        <v>14</v>
      </c>
      <c r="C63" s="39" t="s">
        <v>65</v>
      </c>
      <c r="D63" s="215">
        <f>E35*3%/12*3</f>
        <v>16.665975</v>
      </c>
      <c r="E63" s="215"/>
    </row>
    <row r="64" spans="2:5" ht="15.75" thickBot="1">
      <c r="B64" s="11" t="s">
        <v>36</v>
      </c>
      <c r="C64" s="39" t="s">
        <v>130</v>
      </c>
      <c r="D64" s="216">
        <v>71.45</v>
      </c>
      <c r="E64" s="216"/>
    </row>
    <row r="65" spans="2:5" ht="15.75" thickBot="1">
      <c r="B65" s="217" t="s">
        <v>66</v>
      </c>
      <c r="C65" s="217"/>
      <c r="D65" s="218">
        <f>SUM(D59:E64)</f>
        <v>580.78817500000002</v>
      </c>
      <c r="E65" s="218"/>
    </row>
    <row r="66" spans="2:5">
      <c r="B66" s="219"/>
      <c r="C66" s="219"/>
      <c r="D66" s="219"/>
      <c r="E66" s="219"/>
    </row>
    <row r="67" spans="2:5" ht="16.5" thickBot="1">
      <c r="B67" s="208" t="s">
        <v>68</v>
      </c>
      <c r="C67" s="208"/>
      <c r="D67" s="208"/>
      <c r="E67" s="45"/>
    </row>
    <row r="68" spans="2:5" ht="15.75" thickBot="1">
      <c r="B68" s="24">
        <v>2</v>
      </c>
      <c r="C68" s="25" t="s">
        <v>69</v>
      </c>
      <c r="D68" s="25" t="s">
        <v>30</v>
      </c>
      <c r="E68" s="43"/>
    </row>
    <row r="69" spans="2:5">
      <c r="B69" s="11" t="s">
        <v>42</v>
      </c>
      <c r="C69" s="39" t="s">
        <v>43</v>
      </c>
      <c r="D69" s="46">
        <f>E42</f>
        <v>454.05522999999999</v>
      </c>
      <c r="E69" s="43"/>
    </row>
    <row r="70" spans="2:5">
      <c r="B70" s="11" t="s">
        <v>49</v>
      </c>
      <c r="C70" s="39" t="s">
        <v>70</v>
      </c>
      <c r="D70" s="46">
        <f>E55</f>
        <v>1065.1217215400002</v>
      </c>
      <c r="E70" s="43"/>
    </row>
    <row r="71" spans="2:5" ht="15.75" thickBot="1">
      <c r="B71" s="11" t="s">
        <v>61</v>
      </c>
      <c r="C71" s="39" t="s">
        <v>62</v>
      </c>
      <c r="D71" s="46">
        <f>D65</f>
        <v>580.78817500000002</v>
      </c>
      <c r="E71" s="43"/>
    </row>
    <row r="72" spans="2:5" ht="15.75" thickBot="1">
      <c r="B72" s="217" t="s">
        <v>71</v>
      </c>
      <c r="C72" s="217"/>
      <c r="D72" s="41">
        <f>SUM(D69:D71)</f>
        <v>2099.9651265400003</v>
      </c>
      <c r="E72" s="43"/>
    </row>
    <row r="73" spans="2:5">
      <c r="B73" s="43"/>
      <c r="C73" s="43"/>
      <c r="D73" s="43"/>
      <c r="E73" s="43"/>
    </row>
    <row r="74" spans="2:5" ht="15.75">
      <c r="B74" s="204" t="s">
        <v>72</v>
      </c>
      <c r="C74" s="204"/>
      <c r="D74" s="204"/>
      <c r="E74" s="204"/>
    </row>
    <row r="75" spans="2:5" ht="16.5" thickBot="1">
      <c r="B75" s="208" t="s">
        <v>73</v>
      </c>
      <c r="C75" s="208"/>
      <c r="D75" s="208"/>
      <c r="E75" s="31">
        <f>E35+D72</f>
        <v>4322.0951265399999</v>
      </c>
    </row>
    <row r="76" spans="2:5" ht="15.75" thickBot="1">
      <c r="B76" s="24">
        <v>3</v>
      </c>
      <c r="C76" s="25" t="s">
        <v>74</v>
      </c>
      <c r="D76" s="25" t="s">
        <v>44</v>
      </c>
      <c r="E76" s="32" t="s">
        <v>30</v>
      </c>
    </row>
    <row r="77" spans="2:5">
      <c r="B77" s="8" t="s">
        <v>5</v>
      </c>
      <c r="C77" s="33" t="s">
        <v>75</v>
      </c>
      <c r="D77" s="47">
        <f>((1+0.121+0.0833)/12)*0.05</f>
        <v>5.0179166666666671E-3</v>
      </c>
      <c r="E77" s="35">
        <f t="shared" ref="E77:E82" si="1">D77*$E$75</f>
        <v>21.687913170383844</v>
      </c>
    </row>
    <row r="78" spans="2:5">
      <c r="B78" s="19" t="s">
        <v>7</v>
      </c>
      <c r="C78" s="39" t="s">
        <v>76</v>
      </c>
      <c r="D78" s="47">
        <f>(D77*D54)</f>
        <v>4.0143333333333335E-4</v>
      </c>
      <c r="E78" s="35">
        <f t="shared" si="1"/>
        <v>1.7350330536307075</v>
      </c>
    </row>
    <row r="79" spans="2:5" ht="30">
      <c r="B79" s="19" t="s">
        <v>10</v>
      </c>
      <c r="C79" s="39" t="s">
        <v>77</v>
      </c>
      <c r="D79" s="47">
        <f>40%*D78</f>
        <v>1.6057333333333336E-4</v>
      </c>
      <c r="E79" s="35">
        <f t="shared" si="1"/>
        <v>0.69401322145228306</v>
      </c>
    </row>
    <row r="80" spans="2:5">
      <c r="B80" s="19" t="s">
        <v>12</v>
      </c>
      <c r="C80" s="39" t="s">
        <v>78</v>
      </c>
      <c r="D80" s="47">
        <f>(7/30)/12</f>
        <v>1.9444444444444445E-2</v>
      </c>
      <c r="E80" s="35">
        <f t="shared" si="1"/>
        <v>84.040738571611115</v>
      </c>
    </row>
    <row r="81" spans="2:5">
      <c r="B81" s="19" t="s">
        <v>14</v>
      </c>
      <c r="C81" s="39" t="s">
        <v>79</v>
      </c>
      <c r="D81" s="47">
        <f>D80*D55</f>
        <v>7.7388888888888906E-3</v>
      </c>
      <c r="E81" s="35">
        <f t="shared" si="1"/>
        <v>33.448213951501231</v>
      </c>
    </row>
    <row r="82" spans="2:5" ht="15.75" thickBot="1">
      <c r="B82" s="10" t="s">
        <v>36</v>
      </c>
      <c r="C82" s="1" t="s">
        <v>80</v>
      </c>
      <c r="D82" s="47">
        <f>4/100-D91</f>
        <v>3.979166666666667E-2</v>
      </c>
      <c r="E82" s="35">
        <f t="shared" si="1"/>
        <v>171.98336857690418</v>
      </c>
    </row>
    <row r="83" spans="2:5" ht="15.75" thickBot="1">
      <c r="B83" s="203" t="s">
        <v>47</v>
      </c>
      <c r="C83" s="203"/>
      <c r="D83" s="36">
        <f>SUM(D77:D82)</f>
        <v>7.255492333333334E-2</v>
      </c>
      <c r="E83" s="37">
        <f>SUM(E77:E82)</f>
        <v>313.58928054548335</v>
      </c>
    </row>
    <row r="84" spans="2:5" ht="15.75">
      <c r="B84" s="23"/>
      <c r="C84" s="23"/>
      <c r="D84" s="23"/>
      <c r="E84" s="23"/>
    </row>
    <row r="85" spans="2:5" ht="15.75">
      <c r="B85" s="204" t="s">
        <v>81</v>
      </c>
      <c r="C85" s="204"/>
      <c r="D85" s="204"/>
      <c r="E85" s="204"/>
    </row>
    <row r="86" spans="2:5" ht="16.5" thickBot="1">
      <c r="B86" s="208" t="s">
        <v>83</v>
      </c>
      <c r="C86" s="208"/>
      <c r="D86" s="208"/>
      <c r="E86" s="208"/>
    </row>
    <row r="87" spans="2:5" ht="16.5" thickBot="1">
      <c r="B87" s="209" t="s">
        <v>82</v>
      </c>
      <c r="C87" s="209"/>
      <c r="D87" s="209"/>
      <c r="E87" s="31">
        <f>E35+D69+D70+E83</f>
        <v>4054.8962320854835</v>
      </c>
    </row>
    <row r="88" spans="2:5" ht="15.75" thickBot="1">
      <c r="B88" s="24" t="s">
        <v>84</v>
      </c>
      <c r="C88" s="25" t="s">
        <v>85</v>
      </c>
      <c r="D88" s="48" t="s">
        <v>44</v>
      </c>
      <c r="E88" s="32" t="s">
        <v>30</v>
      </c>
    </row>
    <row r="89" spans="2:5">
      <c r="B89" s="8" t="s">
        <v>5</v>
      </c>
      <c r="C89" s="49" t="s">
        <v>86</v>
      </c>
      <c r="D89" s="50">
        <v>0</v>
      </c>
      <c r="E89" s="51">
        <f t="shared" ref="E89:E94" si="2">D89*$E$87</f>
        <v>0</v>
      </c>
    </row>
    <row r="90" spans="2:5">
      <c r="B90" s="19" t="s">
        <v>7</v>
      </c>
      <c r="C90" s="49" t="s">
        <v>87</v>
      </c>
      <c r="D90" s="50">
        <f>(5/30)/12</f>
        <v>1.3888888888888888E-2</v>
      </c>
      <c r="E90" s="51">
        <f t="shared" si="2"/>
        <v>56.318003223409491</v>
      </c>
    </row>
    <row r="91" spans="2:5">
      <c r="B91" s="19" t="s">
        <v>10</v>
      </c>
      <c r="C91" s="49" t="s">
        <v>88</v>
      </c>
      <c r="D91" s="50">
        <f>((5/30)/12)*0.015</f>
        <v>2.0833333333333332E-4</v>
      </c>
      <c r="E91" s="51">
        <f t="shared" si="2"/>
        <v>0.84477004835114233</v>
      </c>
    </row>
    <row r="92" spans="2:5">
      <c r="B92" s="19" t="s">
        <v>12</v>
      </c>
      <c r="C92" s="49" t="s">
        <v>89</v>
      </c>
      <c r="D92" s="50">
        <f>(0.91/30)/12</f>
        <v>2.5277777777777777E-3</v>
      </c>
      <c r="E92" s="51">
        <f t="shared" si="2"/>
        <v>10.249876586660527</v>
      </c>
    </row>
    <row r="93" spans="2:5">
      <c r="B93" s="19" t="s">
        <v>14</v>
      </c>
      <c r="C93" s="49" t="s">
        <v>90</v>
      </c>
      <c r="D93" s="50">
        <f>(0.121*4/12*0.04)/12</f>
        <v>1.3444444444444444E-4</v>
      </c>
      <c r="E93" s="51">
        <f t="shared" si="2"/>
        <v>0.54515827120260385</v>
      </c>
    </row>
    <row r="94" spans="2:5" ht="15.75" thickBot="1">
      <c r="B94" s="19" t="s">
        <v>36</v>
      </c>
      <c r="C94" s="49" t="s">
        <v>91</v>
      </c>
      <c r="D94" s="52">
        <f>(5.96/30)/12</f>
        <v>1.6555555555555556E-2</v>
      </c>
      <c r="E94" s="51">
        <f t="shared" si="2"/>
        <v>67.131059842304111</v>
      </c>
    </row>
    <row r="95" spans="2:5" ht="15.75" thickBot="1">
      <c r="B95" s="203" t="s">
        <v>47</v>
      </c>
      <c r="C95" s="203"/>
      <c r="D95" s="53">
        <f>SUM(D89:D94)</f>
        <v>3.3314999999999997E-2</v>
      </c>
      <c r="E95" s="37">
        <f>SUM(E89:E94)</f>
        <v>135.08886797192787</v>
      </c>
    </row>
    <row r="97" spans="2:5" ht="16.5" thickBot="1">
      <c r="B97" s="210" t="s">
        <v>92</v>
      </c>
      <c r="C97" s="210"/>
      <c r="D97" s="210"/>
      <c r="E97" s="210"/>
    </row>
    <row r="98" spans="2:5" ht="15.75" thickBot="1">
      <c r="B98" s="24" t="s">
        <v>93</v>
      </c>
      <c r="C98" s="25" t="s">
        <v>67</v>
      </c>
      <c r="D98" s="32" t="s">
        <v>30</v>
      </c>
    </row>
    <row r="99" spans="2:5" ht="15.75" thickBot="1">
      <c r="B99" s="8" t="s">
        <v>5</v>
      </c>
      <c r="C99" s="33" t="s">
        <v>94</v>
      </c>
      <c r="D99" s="44"/>
    </row>
    <row r="100" spans="2:5" ht="15.75" thickBot="1">
      <c r="B100" s="203" t="s">
        <v>47</v>
      </c>
      <c r="C100" s="203"/>
      <c r="D100" s="54"/>
    </row>
    <row r="102" spans="2:5" ht="15.75" thickBot="1">
      <c r="B102" s="211" t="s">
        <v>95</v>
      </c>
      <c r="C102" s="211"/>
      <c r="D102" s="211"/>
    </row>
    <row r="103" spans="2:5" ht="15.75" thickBot="1">
      <c r="B103" s="24">
        <v>4</v>
      </c>
      <c r="C103" s="25" t="s">
        <v>96</v>
      </c>
      <c r="D103" s="32" t="s">
        <v>30</v>
      </c>
    </row>
    <row r="104" spans="2:5">
      <c r="B104" s="19" t="s">
        <v>84</v>
      </c>
      <c r="C104" s="33" t="s">
        <v>85</v>
      </c>
      <c r="D104" s="44">
        <f>E95</f>
        <v>135.08886797192787</v>
      </c>
    </row>
    <row r="105" spans="2:5" ht="15.75" thickBot="1">
      <c r="B105" s="19" t="s">
        <v>93</v>
      </c>
      <c r="C105" s="33" t="s">
        <v>67</v>
      </c>
      <c r="D105" s="44">
        <f>D99</f>
        <v>0</v>
      </c>
    </row>
    <row r="106" spans="2:5" ht="15.75" thickBot="1">
      <c r="B106" s="203" t="s">
        <v>47</v>
      </c>
      <c r="C106" s="203"/>
      <c r="D106" s="55">
        <f>SUM(D104:D105)</f>
        <v>135.08886797192787</v>
      </c>
    </row>
    <row r="107" spans="2:5">
      <c r="B107" s="7"/>
      <c r="E107" s="3"/>
    </row>
    <row r="108" spans="2:5" ht="16.5" thickBot="1">
      <c r="B108" s="204" t="s">
        <v>97</v>
      </c>
      <c r="C108" s="204"/>
      <c r="D108" s="204"/>
      <c r="E108" s="204"/>
    </row>
    <row r="109" spans="2:5" ht="15.75" thickBot="1">
      <c r="B109" s="24">
        <v>5</v>
      </c>
      <c r="C109" s="212" t="s">
        <v>98</v>
      </c>
      <c r="D109" s="212"/>
      <c r="E109" s="26" t="s">
        <v>30</v>
      </c>
    </row>
    <row r="110" spans="2:5">
      <c r="B110" s="8" t="s">
        <v>5</v>
      </c>
      <c r="C110" s="213" t="s">
        <v>135</v>
      </c>
      <c r="D110" s="207"/>
      <c r="E110" s="27">
        <f>UNIFORMES!G29</f>
        <v>144.2283333333333</v>
      </c>
    </row>
    <row r="111" spans="2:5">
      <c r="B111" s="19" t="s">
        <v>7</v>
      </c>
      <c r="C111" s="197" t="s">
        <v>99</v>
      </c>
      <c r="D111" s="197"/>
      <c r="E111" s="28"/>
    </row>
    <row r="112" spans="2:5">
      <c r="B112" s="19" t="s">
        <v>10</v>
      </c>
      <c r="C112" s="197" t="s">
        <v>100</v>
      </c>
      <c r="D112" s="197"/>
      <c r="E112" s="28"/>
    </row>
    <row r="113" spans="2:5">
      <c r="B113" s="19" t="s">
        <v>12</v>
      </c>
      <c r="C113" s="201" t="s">
        <v>136</v>
      </c>
      <c r="D113" s="197"/>
      <c r="E113" s="28"/>
    </row>
    <row r="114" spans="2:5" ht="15.75" thickBot="1">
      <c r="B114" s="10" t="s">
        <v>14</v>
      </c>
      <c r="C114" s="202"/>
      <c r="D114" s="202"/>
      <c r="E114" s="29"/>
    </row>
    <row r="115" spans="2:5" ht="15.75" thickBot="1">
      <c r="B115" s="203" t="s">
        <v>101</v>
      </c>
      <c r="C115" s="203"/>
      <c r="D115" s="203"/>
      <c r="E115" s="30">
        <f>SUM(E110:E114)</f>
        <v>144.2283333333333</v>
      </c>
    </row>
    <row r="117" spans="2:5" ht="15.75">
      <c r="B117" s="204" t="s">
        <v>102</v>
      </c>
      <c r="C117" s="204"/>
      <c r="D117" s="204"/>
      <c r="E117" s="204"/>
    </row>
    <row r="118" spans="2:5" ht="16.5" thickBot="1">
      <c r="B118" s="205" t="s">
        <v>103</v>
      </c>
      <c r="C118" s="205"/>
      <c r="D118" s="205"/>
      <c r="E118" s="31">
        <f>E137</f>
        <v>4915.0016083907449</v>
      </c>
    </row>
    <row r="119" spans="2:5" ht="16.5" thickBot="1">
      <c r="B119" s="205" t="s">
        <v>104</v>
      </c>
      <c r="C119" s="205"/>
      <c r="D119" s="205"/>
      <c r="E119" s="31">
        <f>E118+E121</f>
        <v>5160.7516888102818</v>
      </c>
    </row>
    <row r="120" spans="2:5">
      <c r="B120" s="56">
        <v>5</v>
      </c>
      <c r="C120" s="56" t="s">
        <v>105</v>
      </c>
      <c r="D120" s="56" t="s">
        <v>44</v>
      </c>
      <c r="E120" s="56" t="s">
        <v>30</v>
      </c>
    </row>
    <row r="121" spans="2:5">
      <c r="B121" s="11" t="s">
        <v>5</v>
      </c>
      <c r="C121" s="57" t="s">
        <v>106</v>
      </c>
      <c r="D121" s="50">
        <v>0.05</v>
      </c>
      <c r="E121" s="42">
        <f>D121*$E$118</f>
        <v>245.75008041953726</v>
      </c>
    </row>
    <row r="122" spans="2:5">
      <c r="B122" s="11" t="s">
        <v>7</v>
      </c>
      <c r="C122" s="57" t="s">
        <v>107</v>
      </c>
      <c r="D122" s="50">
        <v>0.1</v>
      </c>
      <c r="E122" s="42">
        <f>D122*$E$119</f>
        <v>516.07516888102816</v>
      </c>
    </row>
    <row r="123" spans="2:5">
      <c r="B123" s="11" t="s">
        <v>10</v>
      </c>
      <c r="C123" s="39" t="s">
        <v>129</v>
      </c>
      <c r="D123" s="58">
        <f>SUM(D124:D127)</f>
        <v>8.6499999999999994E-2</v>
      </c>
      <c r="E123" s="42"/>
    </row>
    <row r="124" spans="2:5">
      <c r="B124" s="11" t="s">
        <v>108</v>
      </c>
      <c r="C124" s="39" t="s">
        <v>109</v>
      </c>
      <c r="D124" s="59">
        <v>0</v>
      </c>
      <c r="E124" s="42"/>
    </row>
    <row r="125" spans="2:5">
      <c r="B125" s="11" t="s">
        <v>110</v>
      </c>
      <c r="C125" s="39" t="s">
        <v>111</v>
      </c>
      <c r="D125" s="59">
        <v>6.4999999999999997E-3</v>
      </c>
      <c r="E125" s="42">
        <f>(E137+E121+E122)/(1-D123)*D125</f>
        <v>40.3934040229814</v>
      </c>
    </row>
    <row r="126" spans="2:5">
      <c r="B126" s="11" t="s">
        <v>112</v>
      </c>
      <c r="C126" s="39" t="s">
        <v>113</v>
      </c>
      <c r="D126" s="59">
        <v>0.03</v>
      </c>
      <c r="E126" s="42">
        <f>(E137+E121+E122)/(1-D123)*D126</f>
        <v>186.43109549068339</v>
      </c>
    </row>
    <row r="127" spans="2:5">
      <c r="B127" s="11" t="s">
        <v>114</v>
      </c>
      <c r="C127" s="12" t="s">
        <v>115</v>
      </c>
      <c r="D127" s="59">
        <v>0.05</v>
      </c>
      <c r="E127" s="42">
        <f>(E137+E121+E122)/(1-D123)*D127</f>
        <v>310.71849248447234</v>
      </c>
    </row>
    <row r="128" spans="2:5">
      <c r="B128" s="206" t="s">
        <v>47</v>
      </c>
      <c r="C128" s="206"/>
      <c r="D128" s="206"/>
      <c r="E128" s="60">
        <f>SUM(E121:E127)</f>
        <v>1299.3682412987025</v>
      </c>
    </row>
    <row r="129" spans="1:5">
      <c r="B129" s="7"/>
      <c r="E129" s="3"/>
    </row>
    <row r="130" spans="1:5" ht="16.5" thickBot="1">
      <c r="B130" s="204" t="s">
        <v>116</v>
      </c>
      <c r="C130" s="204"/>
      <c r="D130" s="204"/>
      <c r="E130" s="204"/>
    </row>
    <row r="131" spans="1:5" ht="15.75" thickBot="1">
      <c r="B131" s="203" t="s">
        <v>117</v>
      </c>
      <c r="C131" s="203"/>
      <c r="D131" s="203"/>
      <c r="E131" s="32" t="s">
        <v>118</v>
      </c>
    </row>
    <row r="132" spans="1:5">
      <c r="B132" s="8" t="s">
        <v>5</v>
      </c>
      <c r="C132" s="207" t="s">
        <v>119</v>
      </c>
      <c r="D132" s="207"/>
      <c r="E132" s="27">
        <f>E35</f>
        <v>2222.13</v>
      </c>
    </row>
    <row r="133" spans="1:5">
      <c r="B133" s="19" t="s">
        <v>7</v>
      </c>
      <c r="C133" s="197" t="s">
        <v>120</v>
      </c>
      <c r="D133" s="197"/>
      <c r="E133" s="28">
        <f>D72</f>
        <v>2099.9651265400003</v>
      </c>
    </row>
    <row r="134" spans="1:5">
      <c r="B134" s="19" t="s">
        <v>10</v>
      </c>
      <c r="C134" s="197" t="s">
        <v>121</v>
      </c>
      <c r="D134" s="197"/>
      <c r="E134" s="28">
        <f>E83</f>
        <v>313.58928054548335</v>
      </c>
    </row>
    <row r="135" spans="1:5">
      <c r="B135" s="19" t="s">
        <v>12</v>
      </c>
      <c r="C135" s="61" t="s">
        <v>122</v>
      </c>
      <c r="D135" s="62"/>
      <c r="E135" s="28">
        <f>D106</f>
        <v>135.08886797192787</v>
      </c>
    </row>
    <row r="136" spans="1:5">
      <c r="B136" s="19" t="s">
        <v>14</v>
      </c>
      <c r="C136" s="197" t="s">
        <v>123</v>
      </c>
      <c r="D136" s="197"/>
      <c r="E136" s="28">
        <f>E115</f>
        <v>144.2283333333333</v>
      </c>
    </row>
    <row r="137" spans="1:5">
      <c r="B137" s="198" t="s">
        <v>124</v>
      </c>
      <c r="C137" s="198"/>
      <c r="D137" s="198"/>
      <c r="E137" s="28">
        <f>SUM(E132:E136)</f>
        <v>4915.0016083907449</v>
      </c>
    </row>
    <row r="138" spans="1:5" ht="15.75" thickBot="1">
      <c r="B138" s="10" t="s">
        <v>36</v>
      </c>
      <c r="C138" s="199" t="s">
        <v>125</v>
      </c>
      <c r="D138" s="199"/>
      <c r="E138" s="63">
        <f>E128</f>
        <v>1299.3682412987025</v>
      </c>
    </row>
    <row r="139" spans="1:5" ht="15.75" thickBot="1">
      <c r="B139" s="200" t="s">
        <v>126</v>
      </c>
      <c r="C139" s="200"/>
      <c r="D139" s="200"/>
      <c r="E139" s="64">
        <f>SUM(E137:E138)</f>
        <v>6214.3698496894476</v>
      </c>
    </row>
    <row r="141" spans="1:5">
      <c r="B141" s="194"/>
      <c r="C141" s="194"/>
      <c r="D141" s="194"/>
      <c r="E141" s="194"/>
    </row>
    <row r="142" spans="1:5">
      <c r="B142" s="194"/>
      <c r="C142" s="194"/>
      <c r="D142" s="194"/>
      <c r="E142" s="194"/>
    </row>
    <row r="143" spans="1:5">
      <c r="A143" t="s">
        <v>137</v>
      </c>
    </row>
    <row r="144" spans="1:5">
      <c r="B144" s="229" t="s">
        <v>138</v>
      </c>
      <c r="C144" s="230"/>
      <c r="D144" s="230"/>
      <c r="E144" s="230"/>
    </row>
    <row r="145" spans="2:5">
      <c r="B145" s="195" t="s">
        <v>139</v>
      </c>
      <c r="C145" s="195"/>
      <c r="D145" s="195"/>
      <c r="E145" s="195"/>
    </row>
    <row r="146" spans="2:5">
      <c r="B146" t="s">
        <v>140</v>
      </c>
    </row>
  </sheetData>
  <mergeCells count="84">
    <mergeCell ref="B16:C16"/>
    <mergeCell ref="B1:E2"/>
    <mergeCell ref="C4:E4"/>
    <mergeCell ref="C5:E5"/>
    <mergeCell ref="C6:E6"/>
    <mergeCell ref="B8:E8"/>
    <mergeCell ref="C9:D9"/>
    <mergeCell ref="C10:D10"/>
    <mergeCell ref="C11:D11"/>
    <mergeCell ref="C12:D12"/>
    <mergeCell ref="C13:D13"/>
    <mergeCell ref="B15:E15"/>
    <mergeCell ref="C30:D30"/>
    <mergeCell ref="B17:C17"/>
    <mergeCell ref="B19:E19"/>
    <mergeCell ref="C20:D20"/>
    <mergeCell ref="C21:D21"/>
    <mergeCell ref="C22:D22"/>
    <mergeCell ref="C23:D23"/>
    <mergeCell ref="C24:D24"/>
    <mergeCell ref="B26:E26"/>
    <mergeCell ref="C27:D27"/>
    <mergeCell ref="C28:D28"/>
    <mergeCell ref="C29:D29"/>
    <mergeCell ref="B57:E57"/>
    <mergeCell ref="C31:D31"/>
    <mergeCell ref="C32:D32"/>
    <mergeCell ref="C33:D33"/>
    <mergeCell ref="C34:D34"/>
    <mergeCell ref="B35:D35"/>
    <mergeCell ref="B37:E37"/>
    <mergeCell ref="B38:D38"/>
    <mergeCell ref="B42:C42"/>
    <mergeCell ref="B44:E44"/>
    <mergeCell ref="B45:D45"/>
    <mergeCell ref="B55:C55"/>
    <mergeCell ref="B72:C72"/>
    <mergeCell ref="D58:E58"/>
    <mergeCell ref="D59:E59"/>
    <mergeCell ref="D60:E60"/>
    <mergeCell ref="D61:E61"/>
    <mergeCell ref="D62:E62"/>
    <mergeCell ref="D63:E63"/>
    <mergeCell ref="D64:E64"/>
    <mergeCell ref="B65:C65"/>
    <mergeCell ref="D65:E65"/>
    <mergeCell ref="B66:E66"/>
    <mergeCell ref="B67:D67"/>
    <mergeCell ref="B108:E108"/>
    <mergeCell ref="B74:E74"/>
    <mergeCell ref="B75:D75"/>
    <mergeCell ref="B83:C83"/>
    <mergeCell ref="B85:E85"/>
    <mergeCell ref="B86:E86"/>
    <mergeCell ref="B87:D87"/>
    <mergeCell ref="B95:C95"/>
    <mergeCell ref="B97:E97"/>
    <mergeCell ref="B100:C100"/>
    <mergeCell ref="B102:D102"/>
    <mergeCell ref="B106:C106"/>
    <mergeCell ref="B130:E130"/>
    <mergeCell ref="C109:D109"/>
    <mergeCell ref="C110:D110"/>
    <mergeCell ref="C111:D111"/>
    <mergeCell ref="C112:D112"/>
    <mergeCell ref="C113:D113"/>
    <mergeCell ref="C114:D114"/>
    <mergeCell ref="B115:D115"/>
    <mergeCell ref="B117:E117"/>
    <mergeCell ref="B118:D118"/>
    <mergeCell ref="B119:D119"/>
    <mergeCell ref="B128:D128"/>
    <mergeCell ref="B145:E145"/>
    <mergeCell ref="B131:D131"/>
    <mergeCell ref="C132:D132"/>
    <mergeCell ref="C133:D133"/>
    <mergeCell ref="C134:D134"/>
    <mergeCell ref="C136:D136"/>
    <mergeCell ref="B137:D137"/>
    <mergeCell ref="C138:D138"/>
    <mergeCell ref="B139:D139"/>
    <mergeCell ref="B141:E141"/>
    <mergeCell ref="B142:E142"/>
    <mergeCell ref="B144:E144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530B8-353C-400F-9D5D-0F59490F7A2B}">
  <dimension ref="A1:E60"/>
  <sheetViews>
    <sheetView topLeftCell="A8" workbookViewId="0">
      <selection activeCell="E40" sqref="E40"/>
    </sheetView>
  </sheetViews>
  <sheetFormatPr defaultRowHeight="15"/>
  <cols>
    <col min="1" max="1" width="7.7109375" customWidth="1"/>
    <col min="2" max="2" width="50.7109375" customWidth="1"/>
    <col min="3" max="3" width="17.140625" customWidth="1"/>
    <col min="4" max="4" width="18.85546875" customWidth="1"/>
    <col min="5" max="5" width="74.28515625" bestFit="1" customWidth="1"/>
  </cols>
  <sheetData>
    <row r="1" spans="1:5">
      <c r="A1" s="233" t="s">
        <v>168</v>
      </c>
      <c r="B1" s="234"/>
      <c r="C1" s="234"/>
      <c r="D1" s="235"/>
      <c r="E1" s="90"/>
    </row>
    <row r="2" spans="1:5">
      <c r="A2" s="236" t="s">
        <v>169</v>
      </c>
      <c r="B2" s="236"/>
      <c r="C2" s="236"/>
      <c r="D2" s="236"/>
      <c r="E2" s="91"/>
    </row>
    <row r="3" spans="1:5">
      <c r="A3" s="90"/>
      <c r="B3" s="90"/>
      <c r="C3" s="90"/>
      <c r="D3" s="90"/>
      <c r="E3" s="90"/>
    </row>
    <row r="4" spans="1:5">
      <c r="A4" s="92"/>
      <c r="B4" s="93" t="s">
        <v>170</v>
      </c>
      <c r="C4" s="237" t="s">
        <v>171</v>
      </c>
      <c r="D4" s="238"/>
      <c r="E4" s="90"/>
    </row>
    <row r="5" spans="1:5">
      <c r="A5" s="92"/>
      <c r="B5" s="93" t="s">
        <v>172</v>
      </c>
      <c r="C5" s="239" t="s">
        <v>9</v>
      </c>
      <c r="D5" s="239"/>
      <c r="E5" s="90"/>
    </row>
    <row r="6" spans="1:5">
      <c r="A6" s="94"/>
      <c r="B6" s="94"/>
      <c r="C6" s="95"/>
      <c r="D6" s="90"/>
      <c r="E6" s="90"/>
    </row>
    <row r="7" spans="1:5">
      <c r="A7" s="240" t="s">
        <v>16</v>
      </c>
      <c r="B7" s="240"/>
      <c r="C7" s="240"/>
      <c r="D7" s="240"/>
      <c r="E7" s="90"/>
    </row>
    <row r="8" spans="1:5">
      <c r="A8" s="231" t="s">
        <v>173</v>
      </c>
      <c r="B8" s="231"/>
      <c r="C8" s="232" t="s">
        <v>174</v>
      </c>
      <c r="D8" s="232"/>
      <c r="E8" s="90"/>
    </row>
    <row r="9" spans="1:5">
      <c r="A9" s="231" t="s">
        <v>175</v>
      </c>
      <c r="B9" s="231"/>
      <c r="C9" s="232" t="s">
        <v>161</v>
      </c>
      <c r="D9" s="232"/>
      <c r="E9" s="90"/>
    </row>
    <row r="10" spans="1:5">
      <c r="A10" s="243" t="s">
        <v>176</v>
      </c>
      <c r="B10" s="244"/>
      <c r="C10" s="245" t="s">
        <v>177</v>
      </c>
      <c r="D10" s="246"/>
      <c r="E10" s="90"/>
    </row>
    <row r="11" spans="1:5">
      <c r="A11" s="97"/>
      <c r="B11" s="97"/>
      <c r="C11" s="98"/>
      <c r="D11" s="98"/>
      <c r="E11" s="90"/>
    </row>
    <row r="12" spans="1:5">
      <c r="A12" s="247" t="s">
        <v>178</v>
      </c>
      <c r="B12" s="247"/>
      <c r="C12" s="247"/>
      <c r="D12" s="247"/>
      <c r="E12" s="90"/>
    </row>
    <row r="13" spans="1:5">
      <c r="A13" s="247" t="s">
        <v>179</v>
      </c>
      <c r="B13" s="247"/>
      <c r="C13" s="247"/>
      <c r="D13" s="247"/>
      <c r="E13" s="90"/>
    </row>
    <row r="14" spans="1:5">
      <c r="A14" s="99"/>
      <c r="B14" s="99"/>
      <c r="C14" s="99"/>
      <c r="D14" s="99"/>
      <c r="E14" s="90"/>
    </row>
    <row r="15" spans="1:5">
      <c r="A15" s="100">
        <v>1</v>
      </c>
      <c r="B15" s="241" t="s">
        <v>180</v>
      </c>
      <c r="C15" s="242"/>
      <c r="D15" s="100" t="s">
        <v>30</v>
      </c>
      <c r="E15" s="90"/>
    </row>
    <row r="16" spans="1:5" ht="32.25" customHeight="1">
      <c r="A16" s="101" t="s">
        <v>5</v>
      </c>
      <c r="B16" s="248" t="s">
        <v>181</v>
      </c>
      <c r="C16" s="249"/>
      <c r="D16" s="102">
        <f>215.64/12</f>
        <v>17.97</v>
      </c>
      <c r="E16" s="103"/>
    </row>
    <row r="17" spans="1:5">
      <c r="A17" s="101" t="s">
        <v>7</v>
      </c>
      <c r="B17" s="250" t="s">
        <v>39</v>
      </c>
      <c r="C17" s="251"/>
      <c r="D17" s="102">
        <v>0</v>
      </c>
      <c r="E17" s="90"/>
    </row>
    <row r="18" spans="1:5">
      <c r="A18" s="104"/>
      <c r="B18" s="252" t="s">
        <v>182</v>
      </c>
      <c r="C18" s="252"/>
      <c r="D18" s="105">
        <f>SUM(D16:D17)</f>
        <v>17.97</v>
      </c>
      <c r="E18" s="90"/>
    </row>
    <row r="19" spans="1:5">
      <c r="A19" s="99"/>
      <c r="B19" s="99"/>
      <c r="C19" s="99"/>
      <c r="D19" s="99"/>
      <c r="E19" s="90"/>
    </row>
    <row r="20" spans="1:5">
      <c r="A20" s="253" t="s">
        <v>183</v>
      </c>
      <c r="B20" s="253"/>
      <c r="C20" s="253"/>
      <c r="D20" s="253"/>
      <c r="E20" s="90"/>
    </row>
    <row r="21" spans="1:5">
      <c r="A21" s="107"/>
      <c r="B21" s="107"/>
      <c r="C21" s="107"/>
      <c r="D21" s="107"/>
      <c r="E21" s="90"/>
    </row>
    <row r="22" spans="1:5">
      <c r="A22" s="100">
        <v>2</v>
      </c>
      <c r="B22" s="241" t="s">
        <v>184</v>
      </c>
      <c r="C22" s="242"/>
      <c r="D22" s="100" t="s">
        <v>30</v>
      </c>
      <c r="E22" s="90"/>
    </row>
    <row r="23" spans="1:5">
      <c r="A23" s="101" t="s">
        <v>5</v>
      </c>
      <c r="B23" s="254" t="s">
        <v>185</v>
      </c>
      <c r="C23" s="254"/>
      <c r="D23" s="108">
        <v>255746.8</v>
      </c>
      <c r="E23" s="90" t="s">
        <v>244</v>
      </c>
    </row>
    <row r="24" spans="1:5">
      <c r="A24" s="101" t="s">
        <v>7</v>
      </c>
      <c r="B24" s="248" t="s">
        <v>186</v>
      </c>
      <c r="C24" s="249"/>
      <c r="D24" s="109">
        <f>$D$23*20%</f>
        <v>51149.36</v>
      </c>
      <c r="E24" s="110" t="s">
        <v>245</v>
      </c>
    </row>
    <row r="25" spans="1:5">
      <c r="A25" s="255" t="s">
        <v>187</v>
      </c>
      <c r="B25" s="256"/>
      <c r="C25" s="256"/>
      <c r="D25" s="257"/>
    </row>
    <row r="26" spans="1:5">
      <c r="A26" s="101" t="s">
        <v>10</v>
      </c>
      <c r="B26" s="258" t="s">
        <v>188</v>
      </c>
      <c r="C26" s="259"/>
      <c r="D26" s="109">
        <f>(($D$23-$D$24)*20%)/12</f>
        <v>3409.9573333333337</v>
      </c>
      <c r="E26" s="110" t="s">
        <v>245</v>
      </c>
    </row>
    <row r="27" spans="1:5">
      <c r="A27" s="101" t="s">
        <v>12</v>
      </c>
      <c r="B27" s="258" t="s">
        <v>189</v>
      </c>
      <c r="C27" s="259"/>
      <c r="D27" s="102">
        <f>((D23*2%)+200.25)/12</f>
        <v>442.93216666666666</v>
      </c>
      <c r="E27" t="s">
        <v>190</v>
      </c>
    </row>
    <row r="28" spans="1:5" ht="23.25" customHeight="1">
      <c r="A28" s="101" t="s">
        <v>14</v>
      </c>
      <c r="B28" s="258" t="s">
        <v>191</v>
      </c>
      <c r="C28" s="259"/>
      <c r="D28" s="102">
        <f>7466.87/12</f>
        <v>622.23916666666662</v>
      </c>
      <c r="E28" s="90" t="s">
        <v>244</v>
      </c>
    </row>
    <row r="29" spans="1:5">
      <c r="A29" s="101" t="s">
        <v>36</v>
      </c>
      <c r="B29" s="258" t="s">
        <v>39</v>
      </c>
      <c r="C29" s="259"/>
      <c r="D29" s="102"/>
      <c r="E29" s="90"/>
    </row>
    <row r="30" spans="1:5">
      <c r="A30" s="101" t="s">
        <v>38</v>
      </c>
      <c r="B30" s="258" t="s">
        <v>192</v>
      </c>
      <c r="C30" s="259"/>
      <c r="D30" s="102">
        <f>6246.72/12</f>
        <v>520.56000000000006</v>
      </c>
      <c r="E30" s="90" t="s">
        <v>244</v>
      </c>
    </row>
    <row r="31" spans="1:5">
      <c r="A31" s="101" t="s">
        <v>58</v>
      </c>
      <c r="B31" s="258" t="s">
        <v>193</v>
      </c>
      <c r="C31" s="259"/>
      <c r="D31" s="102">
        <f>(7964.76/12)*4/12</f>
        <v>221.24333333333334</v>
      </c>
      <c r="E31" s="90" t="s">
        <v>244</v>
      </c>
    </row>
    <row r="32" spans="1:5">
      <c r="A32" s="101" t="s">
        <v>194</v>
      </c>
      <c r="B32" s="258" t="s">
        <v>195</v>
      </c>
      <c r="C32" s="259"/>
      <c r="D32" s="102">
        <f>2329.6/12</f>
        <v>194.13333333333333</v>
      </c>
      <c r="E32" s="90" t="s">
        <v>244</v>
      </c>
    </row>
    <row r="33" spans="1:5">
      <c r="A33" s="101" t="s">
        <v>196</v>
      </c>
      <c r="B33" s="260" t="s">
        <v>39</v>
      </c>
      <c r="C33" s="261"/>
      <c r="D33" s="102"/>
      <c r="E33" s="90"/>
    </row>
    <row r="34" spans="1:5">
      <c r="A34" s="104"/>
      <c r="B34" s="252" t="s">
        <v>182</v>
      </c>
      <c r="C34" s="252"/>
      <c r="D34" s="105">
        <f>SUM($D$26:$D$33)</f>
        <v>5411.0653333333339</v>
      </c>
      <c r="E34" s="90"/>
    </row>
    <row r="35" spans="1:5">
      <c r="A35" s="99"/>
      <c r="B35" s="99"/>
      <c r="C35" s="99"/>
      <c r="D35" s="99"/>
      <c r="E35" s="90"/>
    </row>
    <row r="36" spans="1:5">
      <c r="A36" s="265" t="s">
        <v>197</v>
      </c>
      <c r="B36" s="265"/>
      <c r="C36" s="265"/>
      <c r="D36" s="265"/>
      <c r="E36" s="90"/>
    </row>
    <row r="37" spans="1:5">
      <c r="A37" s="106"/>
      <c r="B37" s="106"/>
      <c r="C37" s="106"/>
      <c r="D37" s="106"/>
      <c r="E37" s="90"/>
    </row>
    <row r="38" spans="1:5">
      <c r="A38" s="100">
        <v>3</v>
      </c>
      <c r="B38" s="111" t="s">
        <v>105</v>
      </c>
      <c r="C38" s="112" t="s">
        <v>198</v>
      </c>
      <c r="D38" s="100" t="s">
        <v>199</v>
      </c>
      <c r="E38" s="90"/>
    </row>
    <row r="39" spans="1:5">
      <c r="A39" s="113" t="s">
        <v>5</v>
      </c>
      <c r="B39" s="114" t="s">
        <v>200</v>
      </c>
      <c r="C39" s="115">
        <v>0.05</v>
      </c>
      <c r="D39" s="116">
        <f>$D$57*$C$39</f>
        <v>271.45176666666674</v>
      </c>
      <c r="E39" s="90"/>
    </row>
    <row r="40" spans="1:5">
      <c r="A40" s="113" t="s">
        <v>7</v>
      </c>
      <c r="B40" s="93" t="s">
        <v>107</v>
      </c>
      <c r="C40" s="117">
        <v>0.1</v>
      </c>
      <c r="D40" s="116">
        <f>$D$57*$C$40</f>
        <v>542.90353333333348</v>
      </c>
      <c r="E40" s="90"/>
    </row>
    <row r="41" spans="1:5">
      <c r="A41" s="113" t="s">
        <v>10</v>
      </c>
      <c r="B41" s="266" t="s">
        <v>129</v>
      </c>
      <c r="C41" s="266"/>
      <c r="D41" s="266"/>
      <c r="E41" s="90"/>
    </row>
    <row r="42" spans="1:5">
      <c r="A42" s="118"/>
      <c r="B42" s="119" t="s">
        <v>201</v>
      </c>
      <c r="C42" s="120"/>
      <c r="D42" s="121"/>
      <c r="E42" s="90"/>
    </row>
    <row r="43" spans="1:5">
      <c r="A43" s="101"/>
      <c r="B43" s="122" t="s">
        <v>111</v>
      </c>
      <c r="C43" s="117">
        <v>1.6500000000000001E-2</v>
      </c>
      <c r="D43" s="116">
        <f>($D$57+$D$39+$D$40)*$C$43/(1-$C$49)</f>
        <v>120.13521335276971</v>
      </c>
      <c r="E43" s="90"/>
    </row>
    <row r="44" spans="1:5">
      <c r="A44" s="101"/>
      <c r="B44" s="122" t="s">
        <v>113</v>
      </c>
      <c r="C44" s="117">
        <v>7.5999999999999998E-2</v>
      </c>
      <c r="D44" s="116">
        <f>($D$57+$D$39+$D$40)*$C$44/(1-$C$49)</f>
        <v>553.35007362487863</v>
      </c>
      <c r="E44" s="90"/>
    </row>
    <row r="45" spans="1:5">
      <c r="A45" s="118"/>
      <c r="B45" s="119" t="s">
        <v>202</v>
      </c>
      <c r="C45" s="123"/>
      <c r="D45" s="124"/>
      <c r="E45" s="90"/>
    </row>
    <row r="46" spans="1:5">
      <c r="A46" s="101"/>
      <c r="B46" s="122" t="s">
        <v>115</v>
      </c>
      <c r="C46" s="117">
        <v>0.05</v>
      </c>
      <c r="D46" s="116">
        <f>($D$57+$D$39+$D$40)*$C$46/(1-$C$49)</f>
        <v>364.04610106899912</v>
      </c>
      <c r="E46" s="90"/>
    </row>
    <row r="47" spans="1:5">
      <c r="A47" s="125"/>
      <c r="B47" s="119" t="s">
        <v>203</v>
      </c>
      <c r="C47" s="123"/>
      <c r="D47" s="124"/>
      <c r="E47" s="90"/>
    </row>
    <row r="48" spans="1:5">
      <c r="A48" s="101"/>
      <c r="B48" s="126" t="s">
        <v>204</v>
      </c>
      <c r="C48" s="117">
        <v>0</v>
      </c>
      <c r="D48" s="116">
        <f>($D$57+$D$39+$D$40)*$C$48/(1-$C$49)</f>
        <v>0</v>
      </c>
      <c r="E48" s="90"/>
    </row>
    <row r="49" spans="1:5">
      <c r="A49" s="267" t="s">
        <v>205</v>
      </c>
      <c r="B49" s="268"/>
      <c r="C49" s="127">
        <f>$C$43+$C$44+$C$46+$C$48</f>
        <v>0.14250000000000002</v>
      </c>
      <c r="D49" s="128">
        <f>D39+D40+D43+D44+D46+D48</f>
        <v>1851.8866880466476</v>
      </c>
      <c r="E49" s="90"/>
    </row>
    <row r="50" spans="1:5">
      <c r="A50" s="269" t="s">
        <v>206</v>
      </c>
      <c r="B50" s="269"/>
      <c r="C50" s="129">
        <f>1-(C49/100%)</f>
        <v>0.85749999999999993</v>
      </c>
      <c r="D50" s="130"/>
      <c r="E50" s="90"/>
    </row>
    <row r="51" spans="1:5">
      <c r="A51" s="99"/>
      <c r="B51" s="99"/>
      <c r="C51" s="99"/>
      <c r="D51" s="99"/>
      <c r="E51" s="90"/>
    </row>
    <row r="52" spans="1:5">
      <c r="A52" s="270" t="s">
        <v>207</v>
      </c>
      <c r="B52" s="270"/>
      <c r="C52" s="270"/>
      <c r="D52" s="270"/>
      <c r="E52" s="90"/>
    </row>
    <row r="53" spans="1:5">
      <c r="A53" s="96"/>
      <c r="B53" s="96"/>
      <c r="C53" s="96"/>
      <c r="D53" s="96"/>
      <c r="E53" s="90"/>
    </row>
    <row r="54" spans="1:5">
      <c r="A54" s="252" t="s">
        <v>208</v>
      </c>
      <c r="B54" s="252"/>
      <c r="C54" s="252"/>
      <c r="D54" s="100" t="s">
        <v>199</v>
      </c>
      <c r="E54" s="90"/>
    </row>
    <row r="55" spans="1:5">
      <c r="A55" s="131" t="s">
        <v>5</v>
      </c>
      <c r="B55" s="271" t="s">
        <v>209</v>
      </c>
      <c r="C55" s="271"/>
      <c r="D55" s="116">
        <f>D18</f>
        <v>17.97</v>
      </c>
      <c r="E55" s="90"/>
    </row>
    <row r="56" spans="1:5">
      <c r="A56" s="131" t="s">
        <v>7</v>
      </c>
      <c r="B56" s="271" t="s">
        <v>210</v>
      </c>
      <c r="C56" s="271"/>
      <c r="D56" s="116">
        <f>D34</f>
        <v>5411.0653333333339</v>
      </c>
      <c r="E56" s="90"/>
    </row>
    <row r="57" spans="1:5">
      <c r="A57" s="272" t="s">
        <v>211</v>
      </c>
      <c r="B57" s="272"/>
      <c r="C57" s="272"/>
      <c r="D57" s="132">
        <f>SUM(D55:D56)</f>
        <v>5429.0353333333342</v>
      </c>
      <c r="E57" s="90"/>
    </row>
    <row r="58" spans="1:5">
      <c r="A58" s="133" t="s">
        <v>10</v>
      </c>
      <c r="B58" s="273" t="s">
        <v>212</v>
      </c>
      <c r="C58" s="273"/>
      <c r="D58" s="134">
        <f>$D$49</f>
        <v>1851.8866880466476</v>
      </c>
      <c r="E58" s="90"/>
    </row>
    <row r="59" spans="1:5">
      <c r="A59" s="135"/>
      <c r="B59" s="272" t="s">
        <v>213</v>
      </c>
      <c r="C59" s="272"/>
      <c r="D59" s="136">
        <f>$D$57+$D$58</f>
        <v>7280.9220213799817</v>
      </c>
      <c r="E59" s="90"/>
    </row>
    <row r="60" spans="1:5">
      <c r="A60" s="262" t="s">
        <v>214</v>
      </c>
      <c r="B60" s="263"/>
      <c r="C60" s="264"/>
      <c r="D60" s="137">
        <f>ROUND(($D$59),2)</f>
        <v>7280.92</v>
      </c>
      <c r="E60" s="90"/>
    </row>
  </sheetData>
  <mergeCells count="43">
    <mergeCell ref="A60:C60"/>
    <mergeCell ref="A36:D36"/>
    <mergeCell ref="B41:D41"/>
    <mergeCell ref="A49:B49"/>
    <mergeCell ref="A50:B50"/>
    <mergeCell ref="A52:D52"/>
    <mergeCell ref="A54:C54"/>
    <mergeCell ref="B55:C55"/>
    <mergeCell ref="B56:C56"/>
    <mergeCell ref="A57:C57"/>
    <mergeCell ref="B58:C58"/>
    <mergeCell ref="B59:C59"/>
    <mergeCell ref="B34:C34"/>
    <mergeCell ref="B23:C23"/>
    <mergeCell ref="B24:C24"/>
    <mergeCell ref="A25:D25"/>
    <mergeCell ref="B26:C26"/>
    <mergeCell ref="B27:C27"/>
    <mergeCell ref="B28:C28"/>
    <mergeCell ref="B29:C29"/>
    <mergeCell ref="B30:C30"/>
    <mergeCell ref="B31:C31"/>
    <mergeCell ref="B32:C32"/>
    <mergeCell ref="B33:C33"/>
    <mergeCell ref="B22:C22"/>
    <mergeCell ref="A9:B9"/>
    <mergeCell ref="C9:D9"/>
    <mergeCell ref="A10:B10"/>
    <mergeCell ref="C10:D10"/>
    <mergeCell ref="A12:D12"/>
    <mergeCell ref="A13:D13"/>
    <mergeCell ref="B15:C15"/>
    <mergeCell ref="B16:C16"/>
    <mergeCell ref="B17:C17"/>
    <mergeCell ref="B18:C18"/>
    <mergeCell ref="A20:D20"/>
    <mergeCell ref="A8:B8"/>
    <mergeCell ref="C8:D8"/>
    <mergeCell ref="A1:D1"/>
    <mergeCell ref="A2:D2"/>
    <mergeCell ref="C4:D4"/>
    <mergeCell ref="C5:D5"/>
    <mergeCell ref="A7:D7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D87AC-9CAE-4310-A793-478F928C8568}">
  <dimension ref="A1:E23"/>
  <sheetViews>
    <sheetView workbookViewId="0">
      <selection activeCell="K30" sqref="K30"/>
    </sheetView>
  </sheetViews>
  <sheetFormatPr defaultRowHeight="15"/>
  <cols>
    <col min="1" max="1" width="20.5703125" customWidth="1"/>
    <col min="5" max="5" width="20.85546875" customWidth="1"/>
  </cols>
  <sheetData>
    <row r="1" spans="1:5">
      <c r="A1" s="274" t="s">
        <v>215</v>
      </c>
      <c r="B1" s="274"/>
      <c r="C1" s="274"/>
      <c r="D1" s="274"/>
      <c r="E1" s="274"/>
    </row>
    <row r="2" spans="1:5">
      <c r="A2" s="275" t="s">
        <v>216</v>
      </c>
      <c r="B2" s="275"/>
      <c r="C2" s="275"/>
      <c r="D2" s="275"/>
      <c r="E2" s="275"/>
    </row>
    <row r="3" spans="1:5">
      <c r="A3" s="276" t="s">
        <v>217</v>
      </c>
      <c r="B3" s="276"/>
      <c r="C3" s="276"/>
      <c r="D3" s="276"/>
      <c r="E3" s="138">
        <v>250</v>
      </c>
    </row>
    <row r="4" spans="1:5" ht="15.75">
      <c r="A4" s="275" t="s">
        <v>218</v>
      </c>
      <c r="B4" s="275"/>
      <c r="C4" s="275"/>
      <c r="D4" s="275"/>
      <c r="E4" s="139"/>
    </row>
    <row r="5" spans="1:5">
      <c r="A5" s="276" t="s">
        <v>219</v>
      </c>
      <c r="B5" s="276"/>
      <c r="C5" s="276"/>
      <c r="D5" s="276"/>
      <c r="E5" s="140">
        <v>0.05</v>
      </c>
    </row>
    <row r="6" spans="1:5">
      <c r="A6" s="276" t="s">
        <v>107</v>
      </c>
      <c r="B6" s="276"/>
      <c r="C6" s="276"/>
      <c r="D6" s="276"/>
      <c r="E6" s="140">
        <v>0.1</v>
      </c>
    </row>
    <row r="7" spans="1:5">
      <c r="A7" s="276" t="s">
        <v>220</v>
      </c>
      <c r="B7" s="276"/>
      <c r="C7" s="276"/>
      <c r="D7" s="276"/>
      <c r="E7" s="141">
        <v>0.05</v>
      </c>
    </row>
    <row r="8" spans="1:5">
      <c r="A8" s="276" t="s">
        <v>113</v>
      </c>
      <c r="B8" s="276"/>
      <c r="C8" s="276"/>
      <c r="D8" s="276"/>
      <c r="E8" s="142">
        <v>0.03</v>
      </c>
    </row>
    <row r="9" spans="1:5">
      <c r="A9" s="276" t="s">
        <v>111</v>
      </c>
      <c r="B9" s="276"/>
      <c r="C9" s="276"/>
      <c r="D9" s="276"/>
      <c r="E9" s="142">
        <v>6.4999999999999997E-3</v>
      </c>
    </row>
    <row r="10" spans="1:5">
      <c r="A10" s="275" t="s">
        <v>221</v>
      </c>
      <c r="B10" s="275"/>
      <c r="C10" s="275"/>
      <c r="D10" s="275"/>
      <c r="E10" s="143">
        <f>SUM(E5:E9)</f>
        <v>0.23650000000000002</v>
      </c>
    </row>
    <row r="11" spans="1:5">
      <c r="A11" s="277" t="s">
        <v>222</v>
      </c>
      <c r="B11" s="277"/>
      <c r="C11" s="277"/>
      <c r="D11" s="277"/>
      <c r="E11" s="144">
        <f>(E3*(1+E10))</f>
        <v>309.125</v>
      </c>
    </row>
    <row r="12" spans="1:5" ht="15.75">
      <c r="A12" s="145"/>
      <c r="B12" s="146"/>
      <c r="C12" s="146"/>
      <c r="D12" s="147"/>
      <c r="E12" s="148"/>
    </row>
    <row r="13" spans="1:5">
      <c r="A13" s="274" t="s">
        <v>223</v>
      </c>
      <c r="B13" s="274"/>
      <c r="C13" s="274"/>
      <c r="D13" s="274"/>
      <c r="E13" s="274"/>
    </row>
    <row r="14" spans="1:5">
      <c r="A14" s="275" t="s">
        <v>216</v>
      </c>
      <c r="B14" s="275"/>
      <c r="C14" s="275"/>
      <c r="D14" s="275"/>
      <c r="E14" s="275"/>
    </row>
    <row r="15" spans="1:5">
      <c r="A15" s="276" t="s">
        <v>224</v>
      </c>
      <c r="B15" s="276"/>
      <c r="C15" s="276"/>
      <c r="D15" s="276"/>
      <c r="E15" s="138">
        <v>140</v>
      </c>
    </row>
    <row r="16" spans="1:5" ht="15.75">
      <c r="A16" s="275" t="s">
        <v>218</v>
      </c>
      <c r="B16" s="275"/>
      <c r="C16" s="275"/>
      <c r="D16" s="275"/>
      <c r="E16" s="139"/>
    </row>
    <row r="17" spans="1:5">
      <c r="A17" s="276" t="s">
        <v>219</v>
      </c>
      <c r="B17" s="276"/>
      <c r="C17" s="276"/>
      <c r="D17" s="276"/>
      <c r="E17" s="140">
        <v>0.05</v>
      </c>
    </row>
    <row r="18" spans="1:5">
      <c r="A18" s="276" t="s">
        <v>107</v>
      </c>
      <c r="B18" s="276"/>
      <c r="C18" s="276"/>
      <c r="D18" s="276"/>
      <c r="E18" s="140">
        <v>0.1</v>
      </c>
    </row>
    <row r="19" spans="1:5">
      <c r="A19" s="276" t="s">
        <v>220</v>
      </c>
      <c r="B19" s="276"/>
      <c r="C19" s="276"/>
      <c r="D19" s="276"/>
      <c r="E19" s="141">
        <v>0.05</v>
      </c>
    </row>
    <row r="20" spans="1:5">
      <c r="A20" s="276" t="s">
        <v>113</v>
      </c>
      <c r="B20" s="276"/>
      <c r="C20" s="276"/>
      <c r="D20" s="276"/>
      <c r="E20" s="142">
        <v>0.03</v>
      </c>
    </row>
    <row r="21" spans="1:5">
      <c r="A21" s="276" t="s">
        <v>111</v>
      </c>
      <c r="B21" s="276"/>
      <c r="C21" s="276"/>
      <c r="D21" s="276"/>
      <c r="E21" s="142">
        <v>6.4999999999999997E-3</v>
      </c>
    </row>
    <row r="22" spans="1:5">
      <c r="A22" s="275" t="s">
        <v>221</v>
      </c>
      <c r="B22" s="275"/>
      <c r="C22" s="275"/>
      <c r="D22" s="275"/>
      <c r="E22" s="143">
        <f>SUM(E17:E21)</f>
        <v>0.23650000000000002</v>
      </c>
    </row>
    <row r="23" spans="1:5">
      <c r="A23" s="277" t="s">
        <v>222</v>
      </c>
      <c r="B23" s="277"/>
      <c r="C23" s="277"/>
      <c r="D23" s="277"/>
      <c r="E23" s="144">
        <f>(E15*(1+E22))</f>
        <v>173.10999999999999</v>
      </c>
    </row>
  </sheetData>
  <mergeCells count="22">
    <mergeCell ref="A20:D20"/>
    <mergeCell ref="A21:D21"/>
    <mergeCell ref="A22:D22"/>
    <mergeCell ref="A23:D23"/>
    <mergeCell ref="A14:E14"/>
    <mergeCell ref="A15:D15"/>
    <mergeCell ref="A16:D16"/>
    <mergeCell ref="A17:D17"/>
    <mergeCell ref="A18:D18"/>
    <mergeCell ref="A19:D19"/>
    <mergeCell ref="A13:E13"/>
    <mergeCell ref="A1:E1"/>
    <mergeCell ref="A2:E2"/>
    <mergeCell ref="A3:D3"/>
    <mergeCell ref="A4:D4"/>
    <mergeCell ref="A5:D5"/>
    <mergeCell ref="A6:D6"/>
    <mergeCell ref="A7:D7"/>
    <mergeCell ref="A8:D8"/>
    <mergeCell ref="A9:D9"/>
    <mergeCell ref="A10:D10"/>
    <mergeCell ref="A11:D1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8D8B7-B32C-4F90-8457-D7AEA8BB3F8B}">
  <dimension ref="A1:G29"/>
  <sheetViews>
    <sheetView topLeftCell="A18" workbookViewId="0">
      <selection activeCell="G30" sqref="G30"/>
    </sheetView>
  </sheetViews>
  <sheetFormatPr defaultRowHeight="15"/>
  <cols>
    <col min="1" max="1" width="3.7109375" customWidth="1"/>
    <col min="2" max="2" width="49.5703125" customWidth="1"/>
    <col min="3" max="3" width="11.7109375" customWidth="1"/>
    <col min="4" max="4" width="8.28515625" customWidth="1"/>
    <col min="5" max="5" width="14.140625" customWidth="1"/>
    <col min="6" max="6" width="15.140625" customWidth="1"/>
    <col min="7" max="7" width="15.28515625" customWidth="1"/>
  </cols>
  <sheetData>
    <row r="1" spans="1:7">
      <c r="A1" s="292" t="s">
        <v>141</v>
      </c>
      <c r="B1" s="293"/>
      <c r="C1" s="293"/>
      <c r="D1" s="293"/>
      <c r="E1" s="293"/>
      <c r="F1" s="293"/>
      <c r="G1" s="294"/>
    </row>
    <row r="2" spans="1:7">
      <c r="A2" s="295"/>
      <c r="B2" s="296"/>
      <c r="C2" s="296"/>
      <c r="D2" s="296"/>
      <c r="E2" s="296"/>
      <c r="F2" s="296"/>
      <c r="G2" s="297"/>
    </row>
    <row r="3" spans="1:7" ht="16.5" thickBot="1">
      <c r="A3" s="298" t="s">
        <v>142</v>
      </c>
      <c r="B3" s="299"/>
      <c r="C3" s="299"/>
      <c r="D3" s="299"/>
      <c r="E3" s="299"/>
      <c r="F3" s="299"/>
      <c r="G3" s="300"/>
    </row>
    <row r="4" spans="1:7" ht="31.5">
      <c r="A4" s="68" t="s">
        <v>143</v>
      </c>
      <c r="B4" s="72" t="s">
        <v>147</v>
      </c>
      <c r="C4" s="72" t="s">
        <v>160</v>
      </c>
      <c r="D4" s="72" t="s">
        <v>163</v>
      </c>
      <c r="E4" s="72" t="s">
        <v>164</v>
      </c>
      <c r="F4" s="72" t="s">
        <v>165</v>
      </c>
      <c r="G4" s="83" t="s">
        <v>167</v>
      </c>
    </row>
    <row r="5" spans="1:7" ht="30">
      <c r="A5" s="69">
        <v>1</v>
      </c>
      <c r="B5" s="73" t="s">
        <v>148</v>
      </c>
      <c r="C5" s="75" t="s">
        <v>161</v>
      </c>
      <c r="D5" s="77">
        <v>4</v>
      </c>
      <c r="E5" s="78">
        <v>93.89</v>
      </c>
      <c r="F5" s="80">
        <f>(E5*D5)</f>
        <v>375.56</v>
      </c>
      <c r="G5" s="84">
        <f>F5/12</f>
        <v>31.296666666666667</v>
      </c>
    </row>
    <row r="6" spans="1:7" ht="90">
      <c r="A6" s="69">
        <v>2</v>
      </c>
      <c r="B6" s="73" t="s">
        <v>149</v>
      </c>
      <c r="C6" s="75" t="s">
        <v>161</v>
      </c>
      <c r="D6" s="77">
        <v>4</v>
      </c>
      <c r="E6" s="79">
        <v>72.989999999999995</v>
      </c>
      <c r="F6" s="80">
        <f t="shared" ref="F6:F9" si="0">(E6*D6)</f>
        <v>291.95999999999998</v>
      </c>
      <c r="G6" s="84">
        <f t="shared" ref="G6:G9" si="1">F6/12</f>
        <v>24.33</v>
      </c>
    </row>
    <row r="7" spans="1:7" ht="30">
      <c r="A7" s="69">
        <v>3</v>
      </c>
      <c r="B7" s="73" t="s">
        <v>150</v>
      </c>
      <c r="C7" s="75" t="s">
        <v>162</v>
      </c>
      <c r="D7" s="77">
        <v>2</v>
      </c>
      <c r="E7" s="79">
        <v>91.78</v>
      </c>
      <c r="F7" s="80">
        <f t="shared" si="0"/>
        <v>183.56</v>
      </c>
      <c r="G7" s="84">
        <f t="shared" si="1"/>
        <v>15.296666666666667</v>
      </c>
    </row>
    <row r="8" spans="1:7" ht="30">
      <c r="A8" s="69">
        <v>4</v>
      </c>
      <c r="B8" s="73" t="s">
        <v>151</v>
      </c>
      <c r="C8" s="75" t="s">
        <v>162</v>
      </c>
      <c r="D8" s="77">
        <v>4</v>
      </c>
      <c r="E8" s="79">
        <v>16.059999999999999</v>
      </c>
      <c r="F8" s="80">
        <f t="shared" si="0"/>
        <v>64.239999999999995</v>
      </c>
      <c r="G8" s="84">
        <f t="shared" si="1"/>
        <v>5.3533333333333326</v>
      </c>
    </row>
    <row r="9" spans="1:7" ht="90">
      <c r="A9" s="69">
        <v>5</v>
      </c>
      <c r="B9" s="73" t="s">
        <v>152</v>
      </c>
      <c r="C9" s="75" t="s">
        <v>161</v>
      </c>
      <c r="D9" s="77">
        <v>2</v>
      </c>
      <c r="E9" s="79">
        <v>16.97</v>
      </c>
      <c r="F9" s="80">
        <f t="shared" si="0"/>
        <v>33.94</v>
      </c>
      <c r="G9" s="84">
        <f t="shared" si="1"/>
        <v>2.8283333333333331</v>
      </c>
    </row>
    <row r="10" spans="1:7" ht="15.75">
      <c r="A10" s="301" t="s">
        <v>144</v>
      </c>
      <c r="B10" s="302"/>
      <c r="C10" s="302"/>
      <c r="D10" s="302"/>
      <c r="E10" s="302"/>
      <c r="F10" s="81">
        <f>SUM(F5:F9)</f>
        <v>949.26</v>
      </c>
      <c r="G10" s="85"/>
    </row>
    <row r="11" spans="1:7" ht="16.5" thickBot="1">
      <c r="A11" s="303" t="s">
        <v>145</v>
      </c>
      <c r="B11" s="304"/>
      <c r="C11" s="304"/>
      <c r="D11" s="304"/>
      <c r="E11" s="304"/>
      <c r="F11" s="305"/>
      <c r="G11" s="86">
        <f>SUM(G5:G9)</f>
        <v>79.105000000000004</v>
      </c>
    </row>
    <row r="12" spans="1:7" ht="16.5" thickBot="1">
      <c r="A12" s="70"/>
      <c r="B12" s="70"/>
      <c r="C12" s="76"/>
      <c r="D12" s="70"/>
      <c r="E12" s="70"/>
      <c r="F12" s="70"/>
      <c r="G12" s="70"/>
    </row>
    <row r="13" spans="1:7">
      <c r="A13" s="278" t="s">
        <v>141</v>
      </c>
      <c r="B13" s="279"/>
      <c r="C13" s="279"/>
      <c r="D13" s="279"/>
      <c r="E13" s="279"/>
      <c r="F13" s="279"/>
      <c r="G13" s="280"/>
    </row>
    <row r="14" spans="1:7">
      <c r="A14" s="281"/>
      <c r="B14" s="282"/>
      <c r="C14" s="282"/>
      <c r="D14" s="282"/>
      <c r="E14" s="282"/>
      <c r="F14" s="282"/>
      <c r="G14" s="283"/>
    </row>
    <row r="15" spans="1:7" ht="16.5" thickBot="1">
      <c r="A15" s="284" t="s">
        <v>146</v>
      </c>
      <c r="B15" s="285"/>
      <c r="C15" s="285"/>
      <c r="D15" s="285"/>
      <c r="E15" s="285"/>
      <c r="F15" s="285"/>
      <c r="G15" s="286"/>
    </row>
    <row r="16" spans="1:7" ht="31.5">
      <c r="A16" s="71" t="s">
        <v>143</v>
      </c>
      <c r="B16" s="74" t="s">
        <v>147</v>
      </c>
      <c r="C16" s="74" t="s">
        <v>160</v>
      </c>
      <c r="D16" s="74" t="s">
        <v>163</v>
      </c>
      <c r="E16" s="74" t="s">
        <v>164</v>
      </c>
      <c r="F16" s="74" t="s">
        <v>166</v>
      </c>
      <c r="G16" s="87" t="s">
        <v>167</v>
      </c>
    </row>
    <row r="17" spans="1:7" ht="30">
      <c r="A17" s="69">
        <v>1</v>
      </c>
      <c r="B17" s="73" t="s">
        <v>148</v>
      </c>
      <c r="C17" s="75" t="s">
        <v>161</v>
      </c>
      <c r="D17" s="77">
        <v>4</v>
      </c>
      <c r="E17" s="79">
        <v>93.89</v>
      </c>
      <c r="F17" s="80">
        <f>(E17*D17)</f>
        <v>375.56</v>
      </c>
      <c r="G17" s="84">
        <f>F17/12</f>
        <v>31.296666666666667</v>
      </c>
    </row>
    <row r="18" spans="1:7" ht="90">
      <c r="A18" s="69">
        <v>2</v>
      </c>
      <c r="B18" s="73" t="s">
        <v>149</v>
      </c>
      <c r="C18" s="75" t="s">
        <v>161</v>
      </c>
      <c r="D18" s="77">
        <v>4</v>
      </c>
      <c r="E18" s="79">
        <v>72.989999999999995</v>
      </c>
      <c r="F18" s="80">
        <f t="shared" ref="F18:F27" si="2">(E18*D18)</f>
        <v>291.95999999999998</v>
      </c>
      <c r="G18" s="84">
        <f t="shared" ref="G18:G27" si="3">F18/12</f>
        <v>24.33</v>
      </c>
    </row>
    <row r="19" spans="1:7" ht="30">
      <c r="A19" s="69">
        <v>3</v>
      </c>
      <c r="B19" s="73" t="s">
        <v>153</v>
      </c>
      <c r="C19" s="75" t="s">
        <v>161</v>
      </c>
      <c r="D19" s="77">
        <v>4</v>
      </c>
      <c r="E19" s="79">
        <v>51.6</v>
      </c>
      <c r="F19" s="80">
        <f t="shared" si="2"/>
        <v>206.4</v>
      </c>
      <c r="G19" s="84">
        <f t="shared" si="3"/>
        <v>17.2</v>
      </c>
    </row>
    <row r="20" spans="1:7" ht="75">
      <c r="A20" s="69">
        <v>4</v>
      </c>
      <c r="B20" s="73" t="s">
        <v>154</v>
      </c>
      <c r="C20" s="75" t="s">
        <v>162</v>
      </c>
      <c r="D20" s="77">
        <v>4</v>
      </c>
      <c r="E20" s="79">
        <v>85.8</v>
      </c>
      <c r="F20" s="80">
        <f t="shared" si="2"/>
        <v>343.2</v>
      </c>
      <c r="G20" s="84">
        <f t="shared" si="3"/>
        <v>28.599999999999998</v>
      </c>
    </row>
    <row r="21" spans="1:7" ht="30">
      <c r="A21" s="69">
        <v>5</v>
      </c>
      <c r="B21" s="73" t="s">
        <v>151</v>
      </c>
      <c r="C21" s="75" t="s">
        <v>162</v>
      </c>
      <c r="D21" s="77">
        <v>4</v>
      </c>
      <c r="E21" s="79">
        <v>16.059999999999999</v>
      </c>
      <c r="F21" s="80">
        <f t="shared" si="2"/>
        <v>64.239999999999995</v>
      </c>
      <c r="G21" s="84">
        <f t="shared" si="3"/>
        <v>5.3533333333333326</v>
      </c>
    </row>
    <row r="22" spans="1:7" ht="30">
      <c r="A22" s="69">
        <v>6</v>
      </c>
      <c r="B22" s="73" t="s">
        <v>155</v>
      </c>
      <c r="C22" s="75" t="s">
        <v>161</v>
      </c>
      <c r="D22" s="77">
        <v>4</v>
      </c>
      <c r="E22" s="79">
        <v>16.5</v>
      </c>
      <c r="F22" s="80">
        <f t="shared" si="2"/>
        <v>66</v>
      </c>
      <c r="G22" s="84">
        <f t="shared" si="3"/>
        <v>5.5</v>
      </c>
    </row>
    <row r="23" spans="1:7">
      <c r="A23" s="69">
        <v>7</v>
      </c>
      <c r="B23" s="73" t="s">
        <v>156</v>
      </c>
      <c r="C23" s="75" t="s">
        <v>161</v>
      </c>
      <c r="D23" s="77">
        <v>2</v>
      </c>
      <c r="E23" s="79">
        <v>47.72</v>
      </c>
      <c r="F23" s="80">
        <f t="shared" si="2"/>
        <v>95.44</v>
      </c>
      <c r="G23" s="84">
        <f t="shared" si="3"/>
        <v>7.9533333333333331</v>
      </c>
    </row>
    <row r="24" spans="1:7" ht="30">
      <c r="A24" s="69">
        <v>8</v>
      </c>
      <c r="B24" s="73" t="s">
        <v>157</v>
      </c>
      <c r="C24" s="75" t="s">
        <v>161</v>
      </c>
      <c r="D24" s="77">
        <v>2</v>
      </c>
      <c r="E24" s="79">
        <v>15.98</v>
      </c>
      <c r="F24" s="80">
        <f t="shared" si="2"/>
        <v>31.96</v>
      </c>
      <c r="G24" s="84">
        <f t="shared" si="3"/>
        <v>2.6633333333333336</v>
      </c>
    </row>
    <row r="25" spans="1:7" ht="30">
      <c r="A25" s="69">
        <v>9</v>
      </c>
      <c r="B25" s="73" t="s">
        <v>158</v>
      </c>
      <c r="C25" s="75" t="s">
        <v>161</v>
      </c>
      <c r="D25" s="77">
        <v>4</v>
      </c>
      <c r="E25" s="79">
        <v>36.82</v>
      </c>
      <c r="F25" s="80">
        <f t="shared" si="2"/>
        <v>147.28</v>
      </c>
      <c r="G25" s="84">
        <f t="shared" si="3"/>
        <v>12.273333333333333</v>
      </c>
    </row>
    <row r="26" spans="1:7">
      <c r="A26" s="69">
        <v>10</v>
      </c>
      <c r="B26" s="73" t="s">
        <v>159</v>
      </c>
      <c r="C26" s="75" t="s">
        <v>162</v>
      </c>
      <c r="D26" s="77">
        <v>4</v>
      </c>
      <c r="E26" s="79">
        <v>18.690000000000001</v>
      </c>
      <c r="F26" s="80">
        <f t="shared" si="2"/>
        <v>74.760000000000005</v>
      </c>
      <c r="G26" s="84">
        <f t="shared" si="3"/>
        <v>6.23</v>
      </c>
    </row>
    <row r="27" spans="1:7" ht="90">
      <c r="A27" s="69">
        <v>11</v>
      </c>
      <c r="B27" s="73" t="s">
        <v>152</v>
      </c>
      <c r="C27" s="75" t="s">
        <v>161</v>
      </c>
      <c r="D27" s="77">
        <v>2</v>
      </c>
      <c r="E27" s="79">
        <v>16.97</v>
      </c>
      <c r="F27" s="80">
        <f t="shared" si="2"/>
        <v>33.94</v>
      </c>
      <c r="G27" s="84">
        <f t="shared" si="3"/>
        <v>2.8283333333333331</v>
      </c>
    </row>
    <row r="28" spans="1:7" ht="15.75">
      <c r="A28" s="287" t="s">
        <v>144</v>
      </c>
      <c r="B28" s="288"/>
      <c r="C28" s="288"/>
      <c r="D28" s="288"/>
      <c r="E28" s="288"/>
      <c r="F28" s="82">
        <f>SUM(F17:F27)</f>
        <v>1730.74</v>
      </c>
      <c r="G28" s="88"/>
    </row>
    <row r="29" spans="1:7" ht="16.5" thickBot="1">
      <c r="A29" s="289" t="s">
        <v>145</v>
      </c>
      <c r="B29" s="290"/>
      <c r="C29" s="290"/>
      <c r="D29" s="290"/>
      <c r="E29" s="290"/>
      <c r="F29" s="291"/>
      <c r="G29" s="89">
        <f>SUM(G17:G27)</f>
        <v>144.2283333333333</v>
      </c>
    </row>
  </sheetData>
  <mergeCells count="8">
    <mergeCell ref="A13:G14"/>
    <mergeCell ref="A15:G15"/>
    <mergeCell ref="A28:E28"/>
    <mergeCell ref="A29:F29"/>
    <mergeCell ref="A1:G2"/>
    <mergeCell ref="A3:G3"/>
    <mergeCell ref="A10:E10"/>
    <mergeCell ref="A11:F11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MOTORISTA SERV. TERC. (B)</vt:lpstr>
      <vt:lpstr>MOTORISTA SERV. TERC. (D)</vt:lpstr>
      <vt:lpstr>OPERADOR DE MÁQUINA III</vt:lpstr>
      <vt:lpstr>VEÍCULO</vt:lpstr>
      <vt:lpstr>DIÁRIAS</vt:lpstr>
      <vt:lpstr>UNIFORMES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Wescley</dc:creator>
  <dc:description/>
  <cp:lastModifiedBy>Prefeitura  do Campus Rio Branco</cp:lastModifiedBy>
  <cp:revision>7</cp:revision>
  <cp:lastPrinted>2024-04-16T15:44:55Z</cp:lastPrinted>
  <dcterms:created xsi:type="dcterms:W3CDTF">2022-08-19T03:33:13Z</dcterms:created>
  <dcterms:modified xsi:type="dcterms:W3CDTF">2025-04-29T20:36:18Z</dcterms:modified>
  <dc:language>pt-BR</dc:language>
</cp:coreProperties>
</file>